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Volunteers" sheetId="1" state="visible" r:id="rId3"/>
    <sheet name="Dashboard" sheetId="2" state="visible" r:id="rId4"/>
    <sheet name="Monthly Report" sheetId="3" state="visible" r:id="rId5"/>
  </sheets>
  <definedNames>
    <definedName function="false" hidden="false" localSheetId="2" name="_xlnm.Print_Area" vbProcedure="false">'Monthly Report'!$A$1:$E$37</definedName>
    <definedName function="false" hidden="false" localSheetId="0" name="_xlnm.Print_Titles" vbProcedure="false">Volunteers!$8:$8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<sst xmlns="http://schemas.openxmlformats.org/spreadsheetml/2006/main" count="196" uniqueCount="103">
  <si>
    <t xml:space="preserve">Volunteer Safe Ministry Roster</t>
  </si>
  <si>
    <t xml:space="preserve">Church:</t>
  </si>
  <si>
    <t xml:space="preserve">Grace Community Church (SAMPLE DATA)</t>
  </si>
  <si>
    <t xml:space="preserve">HOW TO USE THIS SHEET</t>
  </si>
  <si>
    <t xml:space="preserve">Data as of:</t>
  </si>
  <si>
    <t xml:space="preserve">Type only in the soft-yellow cells: names, roles, ministry areas, dates, providers, notes.</t>
  </si>
  <si>
    <t xml:space="preserve">Background check cycle (years):</t>
  </si>
  <si>
    <t xml:space="preserve">Expiration dates, days-until-expiry, and status calculate on their own. Do not type over them.</t>
  </si>
  <si>
    <t xml:space="preserve">Training cycle (years):</t>
  </si>
  <si>
    <t xml:space="preserve">Status meanings:  CURRENT = all items valid.  EXPIRING SOON = an item expires inside the window in B6.</t>
  </si>
  <si>
    <t xml:space="preserve">Expiring-soon window (days):</t>
  </si>
  <si>
    <t xml:space="preserve">EXPIRED = an item has lapsed.  MISSING ITEM = a check or training date has not been entered.</t>
  </si>
  <si>
    <t xml:space="preserve">Column M ranks rows that need action; the Monthly Report sheet reads it. Leave column M alone. Record statuses and dates only: never paste background check results, report contents, or Social Security numbers here.</t>
  </si>
  <si>
    <t xml:space="preserve">Volunteer Name</t>
  </si>
  <si>
    <t xml:space="preserve">Role</t>
  </si>
  <si>
    <t xml:space="preserve">Ministry Area</t>
  </si>
  <si>
    <t xml:space="preserve">Check Date</t>
  </si>
  <si>
    <t xml:space="preserve">Check Provider</t>
  </si>
  <si>
    <t xml:space="preserve">Check Expires</t>
  </si>
  <si>
    <t xml:space="preserve">Training Date</t>
  </si>
  <si>
    <t xml:space="preserve">Training Provider</t>
  </si>
  <si>
    <t xml:space="preserve">Training Expires</t>
  </si>
  <si>
    <t xml:space="preserve">Days Left</t>
  </si>
  <si>
    <t xml:space="preserve">Status</t>
  </si>
  <si>
    <t xml:space="preserve">Notes / internal items</t>
  </si>
  <si>
    <t xml:space="preserve">Rank</t>
  </si>
  <si>
    <t xml:space="preserve">Martha Ellison</t>
  </si>
  <si>
    <t xml:space="preserve">Nursery Worker</t>
  </si>
  <si>
    <t xml:space="preserve">Nursery</t>
  </si>
  <si>
    <t xml:space="preserve">Protect My Ministry</t>
  </si>
  <si>
    <t xml:space="preserve">MinistrySafe</t>
  </si>
  <si>
    <t xml:space="preserve">Doug Pemberton</t>
  </si>
  <si>
    <t xml:space="preserve">Van Driver</t>
  </si>
  <si>
    <t xml:space="preserve">Vans &amp; Drivers</t>
  </si>
  <si>
    <t xml:space="preserve">Safe Gatherings</t>
  </si>
  <si>
    <t xml:space="preserve">MVR and driver form on file 09/2023; renew with check</t>
  </si>
  <si>
    <t xml:space="preserve">Renee Okafor</t>
  </si>
  <si>
    <t xml:space="preserve">Lead Teacher</t>
  </si>
  <si>
    <t xml:space="preserve">Children's Church</t>
  </si>
  <si>
    <t xml:space="preserve">Bill Straub</t>
  </si>
  <si>
    <t xml:space="preserve">Youth Leader</t>
  </si>
  <si>
    <t xml:space="preserve">Youth Group</t>
  </si>
  <si>
    <t xml:space="preserve">Darkness to Light</t>
  </si>
  <si>
    <t xml:space="preserve">Overnight-trip approved 2024</t>
  </si>
  <si>
    <t xml:space="preserve">Janet Kowalski</t>
  </si>
  <si>
    <t xml:space="preserve">Check-in Volunteer</t>
  </si>
  <si>
    <t xml:space="preserve">Check-in Desk</t>
  </si>
  <si>
    <t xml:space="preserve">Checkr</t>
  </si>
  <si>
    <t xml:space="preserve">In-house policy training</t>
  </si>
  <si>
    <t xml:space="preserve">Sam Whitfield</t>
  </si>
  <si>
    <t xml:space="preserve">Teacher</t>
  </si>
  <si>
    <t xml:space="preserve">Priya Natarajan</t>
  </si>
  <si>
    <t xml:space="preserve">Gene Hollis</t>
  </si>
  <si>
    <t xml:space="preserve">First aid card exp 05/2027</t>
  </si>
  <si>
    <t xml:space="preserve">Carol Maybury</t>
  </si>
  <si>
    <t xml:space="preserve">Tom Grady</t>
  </si>
  <si>
    <t xml:space="preserve">Alice Tran</t>
  </si>
  <si>
    <t xml:space="preserve">Marcus Reed</t>
  </si>
  <si>
    <t xml:space="preserve">New volunteer; training scheduled for next month</t>
  </si>
  <si>
    <t xml:space="preserve">Donna Castellano</t>
  </si>
  <si>
    <t xml:space="preserve">Pete Lindqvist</t>
  </si>
  <si>
    <t xml:space="preserve">Grace Adeyemi</t>
  </si>
  <si>
    <t xml:space="preserve">Nursery Coordinator</t>
  </si>
  <si>
    <t xml:space="preserve">Also holds first aid; check card date</t>
  </si>
  <si>
    <t xml:space="preserve">Hank Morrow</t>
  </si>
  <si>
    <t xml:space="preserve">Driver form on file</t>
  </si>
  <si>
    <t xml:space="preserve">Lydia Baumgartner</t>
  </si>
  <si>
    <t xml:space="preserve">Ozzie Delgado</t>
  </si>
  <si>
    <t xml:space="preserve">Faith Nakamura</t>
  </si>
  <si>
    <t xml:space="preserve">Walt Brogan</t>
  </si>
  <si>
    <t xml:space="preserve">Nina Petrov</t>
  </si>
  <si>
    <t xml:space="preserve">Charlie Osei</t>
  </si>
  <si>
    <t xml:space="preserve">Youth Volunteer</t>
  </si>
  <si>
    <t xml:space="preserve">Ruth Villanueva</t>
  </si>
  <si>
    <t xml:space="preserve">Stan Kubiak</t>
  </si>
  <si>
    <t xml:space="preserve">Prefers text reminders; note for desk</t>
  </si>
  <si>
    <t xml:space="preserve">Safe Ministry Dashboard</t>
  </si>
  <si>
    <t xml:space="preserve">Total volunteers</t>
  </si>
  <si>
    <t xml:space="preserve">Current</t>
  </si>
  <si>
    <t xml:space="preserve">Expired</t>
  </si>
  <si>
    <t xml:space="preserve">Missing an item</t>
  </si>
  <si>
    <t xml:space="preserve">A church is in good standing when Expired and Missing are both zero. Anyone expiring soon should already be in the reminder cycle.</t>
  </si>
  <si>
    <t xml:space="preserve">By ministry area</t>
  </si>
  <si>
    <t xml:space="preserve">Volunteers</t>
  </si>
  <si>
    <t xml:space="preserve">Expiring soon</t>
  </si>
  <si>
    <t xml:space="preserve">Missing item</t>
  </si>
  <si>
    <t xml:space="preserve">Share current</t>
  </si>
  <si>
    <t xml:space="preserve">Total</t>
  </si>
  <si>
    <t xml:space="preserve">Edit the yellow area names to match your ministry areas; they must match column C on the Volunteers sheet exactly.</t>
  </si>
  <si>
    <t xml:space="preserve">If the area Total is less than Total volunteers, a row on the Volunteers sheet has an area name not listed here.</t>
  </si>
  <si>
    <t xml:space="preserve">SAFE MINISTRY COMPLIANCE REPORT</t>
  </si>
  <si>
    <t xml:space="preserve">Summary</t>
  </si>
  <si>
    <t xml:space="preserve">Volunteers on roster</t>
  </si>
  <si>
    <t xml:space="preserve">Current on all items</t>
  </si>
  <si>
    <t xml:space="preserve">Needs action</t>
  </si>
  <si>
    <t xml:space="preserve">Action needed this month</t>
  </si>
  <si>
    <t xml:space="preserve">Volunteer</t>
  </si>
  <si>
    <t xml:space="preserve">Days left</t>
  </si>
  <si>
    <t xml:space="preserve">Notes</t>
  </si>
  <si>
    <t xml:space="preserve">This report states recorded certification status as of the date above. It does not assert that any individual is safe. All serving decisions remain with the church.</t>
  </si>
  <si>
    <t xml:space="preserve">This template was drafted with AI assistance and reviewed by a person. Track statuses and dates only; the church orders every check and keeps every report.</t>
  </si>
  <si>
    <t xml:space="preserve">Prepared by: ____________________</t>
  </si>
  <si>
    <t xml:space="preserve">Reviewed by pastor/elder: ____________________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</si>
</sst>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mm/dd/yyyy"/>
    <numFmt numFmtId="166" formatCode="General"/>
    <numFmt numFmtId="167" formatCode="0%"/>
  </numFmts>
  <fonts count="1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3B57"/>
      <name val="Arial"/>
      <family val="0"/>
      <charset val="1"/>
    </font>
    <font>
      <b val="true"/>
      <sz val="10"/>
      <color rgb="FF26313B"/>
      <name val="Arial"/>
      <family val="0"/>
      <charset val="1"/>
    </font>
    <font>
      <sz val="10"/>
      <color rgb="FF26313B"/>
      <name val="Arial"/>
      <family val="0"/>
      <charset val="1"/>
    </font>
    <font>
      <b val="true"/>
      <sz val="10"/>
      <color rgb="FF1F3B57"/>
      <name val="Arial"/>
      <family val="0"/>
      <charset val="1"/>
    </font>
    <font>
      <sz val="9"/>
      <color rgb="FF55606B"/>
      <name val="Arial"/>
      <family val="0"/>
      <charset val="1"/>
    </font>
    <font>
      <i val="true"/>
      <sz val="9"/>
      <color rgb="FF55606B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1"/>
      <color rgb="FF26313B"/>
      <name val="Arial"/>
      <family val="0"/>
      <charset val="1"/>
    </font>
    <font>
      <b val="true"/>
      <sz val="9"/>
      <color rgb="FF26313B"/>
      <name val="Arial"/>
      <family val="0"/>
      <charset val="1"/>
    </font>
    <font>
      <b val="true"/>
      <sz val="18"/>
      <color rgb="FF1F3B57"/>
      <name val="Arial"/>
      <family val="0"/>
      <charset val="1"/>
    </font>
    <font>
      <b val="true"/>
      <sz val="12"/>
      <color rgb="FF1F3B57"/>
      <name val="Arial"/>
      <family val="0"/>
      <charset val="1"/>
    </font>
    <font>
      <b val="true"/>
      <sz val="15"/>
      <color rgb="FF1F3B57"/>
      <name val="Arial"/>
      <family val="0"/>
      <charset val="1"/>
    </font>
    <font>
      <sz val="11"/>
      <color rgb="FF26313B"/>
      <name val="Arial"/>
      <family val="0"/>
      <charset val="1"/>
    </font>
    <font>
      <i val="true"/>
      <sz val="8"/>
      <color rgb="FF55606B"/>
      <name val="Arial"/>
      <family val="0"/>
      <charset val="1"/>
    </font>
    <font>
      <sz val="9"/>
      <color rgb="FF26313B"/>
      <name val="Arial"/>
      <family val="0"/>
      <charset val="1"/>
    </font>
  </fonts>
  <fills count="11">
    <fill>
      <patternFill patternType="none"/>
    </fill>
    <fill>
      <patternFill patternType="gray125"/>
    </fill>
    <fill>
      <patternFill patternType="solid">
        <fgColor rgb="FFFFFBE6"/>
        <bgColor rgb="FFFFF3D6"/>
      </patternFill>
    </fill>
    <fill>
      <patternFill patternType="solid">
        <fgColor rgb="FFF3F3F3"/>
        <bgColor rgb="FFEEF2F6"/>
      </patternFill>
    </fill>
    <fill>
      <patternFill patternType="solid">
        <fgColor rgb="FF1F3B57"/>
        <bgColor rgb="FF26313B"/>
      </patternFill>
    </fill>
    <fill>
      <patternFill patternType="solid">
        <fgColor rgb="FFEAEFF5"/>
        <bgColor rgb="FFEEF2F6"/>
      </patternFill>
    </fill>
    <fill>
      <patternFill patternType="solid">
        <fgColor rgb="FFE7F2E7"/>
        <bgColor rgb="FFEAEFF5"/>
      </patternFill>
    </fill>
    <fill>
      <patternFill patternType="solid">
        <fgColor rgb="FFFFF3D6"/>
        <bgColor rgb="FFFDEBD9"/>
      </patternFill>
    </fill>
    <fill>
      <patternFill patternType="solid">
        <fgColor rgb="FFFBE3E1"/>
        <bgColor rgb="FFFDEBD9"/>
      </patternFill>
    </fill>
    <fill>
      <patternFill patternType="solid">
        <fgColor rgb="FFFDEBD9"/>
        <bgColor rgb="FFFFF3D6"/>
      </patternFill>
    </fill>
    <fill>
      <patternFill patternType="solid">
        <fgColor rgb="FFEEF2F6"/>
        <bgColor rgb="FFF3F3F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4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6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2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9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3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3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3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3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3" fillId="9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4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6" fontId="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1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5" fillId="1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7" fillId="0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4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4" fillId="6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7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4" fillId="7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8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4" fillId="8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9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4" fillId="9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4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7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ont>
        <name val="Arial"/>
        <charset val="1"/>
        <family val="0"/>
        <b val="1"/>
        <color rgb="FF9C1F14"/>
        <sz val="10"/>
      </font>
      <fill>
        <patternFill>
          <bgColor rgb="FFFBE3E1"/>
        </patternFill>
      </fill>
    </dxf>
    <dxf>
      <font>
        <name val="Arial"/>
        <charset val="1"/>
        <family val="0"/>
        <b val="1"/>
        <color rgb="FF8A5A00"/>
        <sz val="10"/>
      </font>
      <fill>
        <patternFill>
          <bgColor rgb="FFFFF3D6"/>
        </patternFill>
      </fill>
    </dxf>
    <dxf>
      <font>
        <name val="Arial"/>
        <charset val="1"/>
        <family val="0"/>
        <b val="1"/>
        <color rgb="FF9C4A00"/>
        <sz val="10"/>
      </font>
      <fill>
        <patternFill>
          <bgColor rgb="FFFDEBD9"/>
        </patternFill>
      </fill>
    </dxf>
    <dxf>
      <font>
        <name val="Arial"/>
        <charset val="1"/>
        <family val="0"/>
        <b val="1"/>
        <color rgb="FF2E7D32"/>
        <sz val="10"/>
      </font>
      <fill>
        <patternFill>
          <bgColor rgb="FFE7F2E7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A5A00"/>
      <rgbColor rgb="FF800080"/>
      <rgbColor rgb="FF008080"/>
      <rgbColor rgb="FFFDEBD9"/>
      <rgbColor rgb="FF808080"/>
      <rgbColor rgb="FF9999FF"/>
      <rgbColor rgb="FF9C4A00"/>
      <rgbColor rgb="FFFFFBE6"/>
      <rgbColor rgb="FFE7F2E7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AEFF5"/>
      <rgbColor rgb="FFEEF2F6"/>
      <rgbColor rgb="FFFFF3D6"/>
      <rgbColor rgb="FFF3F3F3"/>
      <rgbColor rgb="FFFF99CC"/>
      <rgbColor rgb="FFCC99FF"/>
      <rgbColor rgb="FFFBE3E1"/>
      <rgbColor rgb="FF3366FF"/>
      <rgbColor rgb="FF33CCCC"/>
      <rgbColor rgb="FF99CC00"/>
      <rgbColor rgb="FFFFCC00"/>
      <rgbColor rgb="FFFF9900"/>
      <rgbColor rgb="FFFF6600"/>
      <rgbColor rgb="FF55606B"/>
      <rgbColor rgb="FF969696"/>
      <rgbColor rgb="FF1F3B57"/>
      <rgbColor rgb="FF2E7D32"/>
      <rgbColor rgb="FF003300"/>
      <rgbColor rgb="FF333300"/>
      <rgbColor rgb="FF9C1F14"/>
      <rgbColor rgb="FF993366"/>
      <rgbColor rgb="FF333399"/>
      <rgbColor rgb="FF26313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M5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8" topLeftCell="A9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7"/>
    <col collapsed="false" customWidth="true" hidden="false" outlineLevel="0" max="3" min="2" style="0" width="17"/>
    <col collapsed="false" customWidth="true" hidden="false" outlineLevel="0" max="4" min="4" style="0" width="12"/>
    <col collapsed="false" customWidth="true" hidden="false" outlineLevel="0" max="5" min="5" style="0" width="17"/>
    <col collapsed="false" customWidth="true" hidden="false" outlineLevel="0" max="7" min="6" style="0" width="12"/>
    <col collapsed="false" customWidth="true" hidden="false" outlineLevel="0" max="8" min="8" style="0" width="17"/>
    <col collapsed="false" customWidth="true" hidden="false" outlineLevel="0" max="9" min="9" style="0" width="12"/>
    <col collapsed="false" customWidth="true" hidden="false" outlineLevel="0" max="10" min="10" style="0" width="9"/>
    <col collapsed="false" customWidth="true" hidden="false" outlineLevel="0" max="11" min="11" style="0" width="15"/>
    <col collapsed="false" customWidth="true" hidden="false" outlineLevel="0" max="12" min="12" style="0" width="34"/>
    <col collapsed="false" customWidth="true" hidden="false" outlineLevel="0" max="13" min="13" style="0" width="7"/>
  </cols>
  <sheetData>
    <row r="1" customFormat="false" ht="24" hidden="false" customHeight="tru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  <c r="B2" s="3" t="s">
        <v>2</v>
      </c>
      <c r="D2" s="4" t="s">
        <v>3</v>
      </c>
    </row>
    <row r="3" customFormat="false" ht="15" hidden="false" customHeight="false" outlineLevel="0" collapsed="false">
      <c r="A3" s="2" t="s">
        <v>4</v>
      </c>
      <c r="B3" s="5" t="n">
        <f aca="true">TODAY()</f>
        <v>46319</v>
      </c>
      <c r="D3" s="6" t="s">
        <v>5</v>
      </c>
    </row>
    <row r="4" customFormat="false" ht="15" hidden="false" customHeight="false" outlineLevel="0" collapsed="false">
      <c r="A4" s="2" t="s">
        <v>6</v>
      </c>
      <c r="B4" s="3" t="n">
        <v>3</v>
      </c>
      <c r="D4" s="6" t="s">
        <v>7</v>
      </c>
    </row>
    <row r="5" customFormat="false" ht="15" hidden="false" customHeight="false" outlineLevel="0" collapsed="false">
      <c r="A5" s="2" t="s">
        <v>8</v>
      </c>
      <c r="B5" s="3" t="n">
        <v>3</v>
      </c>
      <c r="D5" s="6" t="s">
        <v>9</v>
      </c>
    </row>
    <row r="6" customFormat="false" ht="15" hidden="false" customHeight="false" outlineLevel="0" collapsed="false">
      <c r="A6" s="2" t="s">
        <v>10</v>
      </c>
      <c r="B6" s="3" t="n">
        <v>60</v>
      </c>
      <c r="D6" s="6" t="s">
        <v>11</v>
      </c>
    </row>
    <row r="7" customFormat="false" ht="15" hidden="false" customHeight="false" outlineLevel="0" collapsed="false">
      <c r="A7" s="7" t="s">
        <v>12</v>
      </c>
    </row>
    <row r="8" customFormat="false" ht="30" hidden="false" customHeight="true" outlineLevel="0" collapsed="false">
      <c r="A8" s="8" t="s">
        <v>13</v>
      </c>
      <c r="B8" s="8" t="s">
        <v>14</v>
      </c>
      <c r="C8" s="8" t="s">
        <v>15</v>
      </c>
      <c r="D8" s="8" t="s">
        <v>16</v>
      </c>
      <c r="E8" s="8" t="s">
        <v>17</v>
      </c>
      <c r="F8" s="8" t="s">
        <v>18</v>
      </c>
      <c r="G8" s="8" t="s">
        <v>19</v>
      </c>
      <c r="H8" s="8" t="s">
        <v>20</v>
      </c>
      <c r="I8" s="8" t="s">
        <v>21</v>
      </c>
      <c r="J8" s="8" t="s">
        <v>22</v>
      </c>
      <c r="K8" s="8" t="s">
        <v>23</v>
      </c>
      <c r="L8" s="8" t="s">
        <v>24</v>
      </c>
      <c r="M8" s="8" t="s">
        <v>25</v>
      </c>
    </row>
    <row r="9" customFormat="false" ht="15" hidden="false" customHeight="false" outlineLevel="0" collapsed="false">
      <c r="A9" s="3" t="s">
        <v>26</v>
      </c>
      <c r="B9" s="3" t="s">
        <v>27</v>
      </c>
      <c r="C9" s="3" t="s">
        <v>28</v>
      </c>
      <c r="D9" s="9" t="n">
        <v>45425</v>
      </c>
      <c r="E9" s="3" t="s">
        <v>29</v>
      </c>
      <c r="F9" s="10" t="n">
        <f aca="false">IF(OR($A9="",$D9=""),"",EDATE($D9,12*$B$4))</f>
        <v>46520</v>
      </c>
      <c r="G9" s="9" t="n">
        <v>45432</v>
      </c>
      <c r="H9" s="3" t="s">
        <v>30</v>
      </c>
      <c r="I9" s="10" t="n">
        <f aca="false">IF(OR($A9="",$G9=""),"",EDATE($G9,12*$B$5))</f>
        <v>46527</v>
      </c>
      <c r="J9" s="11" t="n">
        <f aca="false">IF($A9="","",IF(AND($F9="",$I9=""),"",MIN(IF($F9="",99999,$F9),IF($I9="",99999,$I9))-$B$3))</f>
        <v>201</v>
      </c>
      <c r="K9" s="12" t="str">
        <f aca="false">IF($A9="","",IF(OR($D9="",$G9=""),"MISSING ITEM",IF($J9&lt;0,"EXPIRED",IF($J9&lt;=$B$6,"EXPIRING SOON","CURRENT"))))</f>
        <v>CURRENT</v>
      </c>
      <c r="L9" s="3"/>
      <c r="M9" s="11" t="str">
        <f aca="false">IF(OR($K9="EXPIRED",$K9="EXPIRING SOON",$K9="MISSING ITEM"),COUNTIF($K$9:$K9,"EXPIRED")+COUNTIF($K$9:$K9,"EXPIRING SOON")+COUNTIF($K$9:$K9,"MISSING ITEM"),"")</f>
        <v/>
      </c>
    </row>
    <row r="10" customFormat="false" ht="15" hidden="false" customHeight="false" outlineLevel="0" collapsed="false">
      <c r="A10" s="3" t="s">
        <v>31</v>
      </c>
      <c r="B10" s="3" t="s">
        <v>32</v>
      </c>
      <c r="C10" s="3" t="s">
        <v>33</v>
      </c>
      <c r="D10" s="9" t="n">
        <v>45246</v>
      </c>
      <c r="E10" s="3" t="s">
        <v>34</v>
      </c>
      <c r="F10" s="10" t="n">
        <f aca="false">IF(OR($A10="",$D10=""),"",EDATE($D10,12*$B$4))</f>
        <v>46342</v>
      </c>
      <c r="G10" s="9" t="n">
        <v>45246</v>
      </c>
      <c r="H10" s="3" t="s">
        <v>34</v>
      </c>
      <c r="I10" s="10" t="n">
        <f aca="false">IF(OR($A10="",$G10=""),"",EDATE($G10,12*$B$5))</f>
        <v>46342</v>
      </c>
      <c r="J10" s="11" t="n">
        <f aca="false">IF($A10="","",IF(AND($F10="",$I10=""),"",MIN(IF($F10="",99999,$F10),IF($I10="",99999,$I10))-$B$3))</f>
        <v>23</v>
      </c>
      <c r="K10" s="12" t="str">
        <f aca="false">IF($A10="","",IF(OR($D10="",$G10=""),"MISSING ITEM",IF($J10&lt;0,"EXPIRED",IF($J10&lt;=$B$6,"EXPIRING SOON","CURRENT"))))</f>
        <v>EXPIRING SOON</v>
      </c>
      <c r="L10" s="3" t="s">
        <v>35</v>
      </c>
      <c r="M10" s="11" t="n">
        <f aca="false">IF(OR($K10="EXPIRED",$K10="EXPIRING SOON",$K10="MISSING ITEM"),COUNTIF($K$9:$K10,"EXPIRED")+COUNTIF($K$9:$K10,"EXPIRING SOON")+COUNTIF($K$9:$K10,"MISSING ITEM"),"")</f>
        <v>1</v>
      </c>
    </row>
    <row r="11" customFormat="false" ht="15" hidden="false" customHeight="false" outlineLevel="0" collapsed="false">
      <c r="A11" s="3" t="s">
        <v>36</v>
      </c>
      <c r="B11" s="3" t="s">
        <v>37</v>
      </c>
      <c r="C11" s="3" t="s">
        <v>38</v>
      </c>
      <c r="D11" s="9" t="n">
        <v>45740</v>
      </c>
      <c r="E11" s="3" t="s">
        <v>30</v>
      </c>
      <c r="F11" s="10" t="n">
        <f aca="false">IF(OR($A11="",$D11=""),"",EDATE($D11,12*$B$4))</f>
        <v>46836</v>
      </c>
      <c r="G11" s="9" t="n">
        <v>45747</v>
      </c>
      <c r="H11" s="3" t="s">
        <v>30</v>
      </c>
      <c r="I11" s="10" t="n">
        <f aca="false">IF(OR($A11="",$G11=""),"",EDATE($G11,12*$B$5))</f>
        <v>46843</v>
      </c>
      <c r="J11" s="11" t="n">
        <f aca="false">IF($A11="","",IF(AND($F11="",$I11=""),"",MIN(IF($F11="",99999,$F11),IF($I11="",99999,$I11))-$B$3))</f>
        <v>517</v>
      </c>
      <c r="K11" s="12" t="str">
        <f aca="false">IF($A11="","",IF(OR($D11="",$G11=""),"MISSING ITEM",IF($J11&lt;0,"EXPIRED",IF($J11&lt;=$B$6,"EXPIRING SOON","CURRENT"))))</f>
        <v>CURRENT</v>
      </c>
      <c r="L11" s="3"/>
      <c r="M11" s="11" t="str">
        <f aca="false">IF(OR($K11="EXPIRED",$K11="EXPIRING SOON",$K11="MISSING ITEM"),COUNTIF($K$9:$K11,"EXPIRED")+COUNTIF($K$9:$K11,"EXPIRING SOON")+COUNTIF($K$9:$K11,"MISSING ITEM"),"")</f>
        <v/>
      </c>
    </row>
    <row r="12" customFormat="false" ht="15" hidden="false" customHeight="false" outlineLevel="0" collapsed="false">
      <c r="A12" s="3" t="s">
        <v>39</v>
      </c>
      <c r="B12" s="3" t="s">
        <v>40</v>
      </c>
      <c r="C12" s="3" t="s">
        <v>41</v>
      </c>
      <c r="D12" s="9" t="n">
        <v>45178</v>
      </c>
      <c r="E12" s="3" t="s">
        <v>29</v>
      </c>
      <c r="F12" s="10" t="n">
        <f aca="false">IF(OR($A12="",$D12=""),"",EDATE($D12,12*$B$4))</f>
        <v>46274</v>
      </c>
      <c r="G12" s="9" t="n">
        <v>45178</v>
      </c>
      <c r="H12" s="3" t="s">
        <v>42</v>
      </c>
      <c r="I12" s="10" t="n">
        <f aca="false">IF(OR($A12="",$G12=""),"",EDATE($G12,12*$B$5))</f>
        <v>46274</v>
      </c>
      <c r="J12" s="11" t="n">
        <f aca="false">IF($A12="","",IF(AND($F12="",$I12=""),"",MIN(IF($F12="",99999,$F12),IF($I12="",99999,$I12))-$B$3))</f>
        <v>-45</v>
      </c>
      <c r="K12" s="12" t="str">
        <f aca="false">IF($A12="","",IF(OR($D12="",$G12=""),"MISSING ITEM",IF($J12&lt;0,"EXPIRED",IF($J12&lt;=$B$6,"EXPIRING SOON","CURRENT"))))</f>
        <v>EXPIRED</v>
      </c>
      <c r="L12" s="3" t="s">
        <v>43</v>
      </c>
      <c r="M12" s="11" t="n">
        <f aca="false">IF(OR($K12="EXPIRED",$K12="EXPIRING SOON",$K12="MISSING ITEM"),COUNTIF($K$9:$K12,"EXPIRED")+COUNTIF($K$9:$K12,"EXPIRING SOON")+COUNTIF($K$9:$K12,"MISSING ITEM"),"")</f>
        <v>2</v>
      </c>
    </row>
    <row r="13" customFormat="false" ht="15" hidden="false" customHeight="false" outlineLevel="0" collapsed="false">
      <c r="A13" s="3" t="s">
        <v>44</v>
      </c>
      <c r="B13" s="3" t="s">
        <v>45</v>
      </c>
      <c r="C13" s="3" t="s">
        <v>46</v>
      </c>
      <c r="D13" s="9" t="n">
        <v>45662</v>
      </c>
      <c r="E13" s="3" t="s">
        <v>47</v>
      </c>
      <c r="F13" s="10" t="n">
        <f aca="false">IF(OR($A13="",$D13=""),"",EDATE($D13,12*$B$4))</f>
        <v>46757</v>
      </c>
      <c r="G13" s="9" t="n">
        <v>45669</v>
      </c>
      <c r="H13" s="3" t="s">
        <v>48</v>
      </c>
      <c r="I13" s="10" t="n">
        <f aca="false">IF(OR($A13="",$G13=""),"",EDATE($G13,12*$B$5))</f>
        <v>46764</v>
      </c>
      <c r="J13" s="11" t="n">
        <f aca="false">IF($A13="","",IF(AND($F13="",$I13=""),"",MIN(IF($F13="",99999,$F13),IF($I13="",99999,$I13))-$B$3))</f>
        <v>438</v>
      </c>
      <c r="K13" s="12" t="str">
        <f aca="false">IF($A13="","",IF(OR($D13="",$G13=""),"MISSING ITEM",IF($J13&lt;0,"EXPIRED",IF($J13&lt;=$B$6,"EXPIRING SOON","CURRENT"))))</f>
        <v>CURRENT</v>
      </c>
      <c r="L13" s="3"/>
      <c r="M13" s="11" t="str">
        <f aca="false">IF(OR($K13="EXPIRED",$K13="EXPIRING SOON",$K13="MISSING ITEM"),COUNTIF($K$9:$K13,"EXPIRED")+COUNTIF($K$9:$K13,"EXPIRING SOON")+COUNTIF($K$9:$K13,"MISSING ITEM"),"")</f>
        <v/>
      </c>
    </row>
    <row r="14" customFormat="false" ht="15" hidden="false" customHeight="false" outlineLevel="0" collapsed="false">
      <c r="A14" s="3" t="s">
        <v>49</v>
      </c>
      <c r="B14" s="3" t="s">
        <v>50</v>
      </c>
      <c r="C14" s="3" t="s">
        <v>38</v>
      </c>
      <c r="D14" s="9" t="n">
        <v>45264</v>
      </c>
      <c r="E14" s="3" t="s">
        <v>34</v>
      </c>
      <c r="F14" s="10" t="n">
        <f aca="false">IF(OR($A14="",$D14=""),"",EDATE($D14,12*$B$4))</f>
        <v>46360</v>
      </c>
      <c r="G14" s="9" t="n">
        <v>45264</v>
      </c>
      <c r="H14" s="3" t="s">
        <v>34</v>
      </c>
      <c r="I14" s="10" t="n">
        <f aca="false">IF(OR($A14="",$G14=""),"",EDATE($G14,12*$B$5))</f>
        <v>46360</v>
      </c>
      <c r="J14" s="11" t="n">
        <f aca="false">IF($A14="","",IF(AND($F14="",$I14=""),"",MIN(IF($F14="",99999,$F14),IF($I14="",99999,$I14))-$B$3))</f>
        <v>41</v>
      </c>
      <c r="K14" s="12" t="str">
        <f aca="false">IF($A14="","",IF(OR($D14="",$G14=""),"MISSING ITEM",IF($J14&lt;0,"EXPIRED",IF($J14&lt;=$B$6,"EXPIRING SOON","CURRENT"))))</f>
        <v>EXPIRING SOON</v>
      </c>
      <c r="L14" s="3"/>
      <c r="M14" s="11" t="n">
        <f aca="false">IF(OR($K14="EXPIRED",$K14="EXPIRING SOON",$K14="MISSING ITEM"),COUNTIF($K$9:$K14,"EXPIRED")+COUNTIF($K$9:$K14,"EXPIRING SOON")+COUNTIF($K$9:$K14,"MISSING ITEM"),"")</f>
        <v>3</v>
      </c>
    </row>
    <row r="15" customFormat="false" ht="15" hidden="false" customHeight="false" outlineLevel="0" collapsed="false">
      <c r="A15" s="3" t="s">
        <v>51</v>
      </c>
      <c r="B15" s="3" t="s">
        <v>27</v>
      </c>
      <c r="C15" s="3" t="s">
        <v>28</v>
      </c>
      <c r="D15" s="9" t="n">
        <v>45824</v>
      </c>
      <c r="E15" s="3" t="s">
        <v>30</v>
      </c>
      <c r="F15" s="10" t="n">
        <f aca="false">IF(OR($A15="",$D15=""),"",EDATE($D15,12*$B$4))</f>
        <v>46920</v>
      </c>
      <c r="G15" s="9" t="n">
        <v>45831</v>
      </c>
      <c r="H15" s="3" t="s">
        <v>30</v>
      </c>
      <c r="I15" s="10" t="n">
        <f aca="false">IF(OR($A15="",$G15=""),"",EDATE($G15,12*$B$5))</f>
        <v>46927</v>
      </c>
      <c r="J15" s="11" t="n">
        <f aca="false">IF($A15="","",IF(AND($F15="",$I15=""),"",MIN(IF($F15="",99999,$F15),IF($I15="",99999,$I15))-$B$3))</f>
        <v>601</v>
      </c>
      <c r="K15" s="12" t="str">
        <f aca="false">IF($A15="","",IF(OR($D15="",$G15=""),"MISSING ITEM",IF($J15&lt;0,"EXPIRED",IF($J15&lt;=$B$6,"EXPIRING SOON","CURRENT"))))</f>
        <v>CURRENT</v>
      </c>
      <c r="L15" s="3"/>
      <c r="M15" s="11" t="str">
        <f aca="false">IF(OR($K15="EXPIRED",$K15="EXPIRING SOON",$K15="MISSING ITEM"),COUNTIF($K$9:$K15,"EXPIRED")+COUNTIF($K$9:$K15,"EXPIRING SOON")+COUNTIF($K$9:$K15,"MISSING ITEM"),"")</f>
        <v/>
      </c>
    </row>
    <row r="16" customFormat="false" ht="15" hidden="false" customHeight="false" outlineLevel="0" collapsed="false">
      <c r="A16" s="3" t="s">
        <v>52</v>
      </c>
      <c r="B16" s="3" t="s">
        <v>32</v>
      </c>
      <c r="C16" s="3" t="s">
        <v>33</v>
      </c>
      <c r="D16" s="9" t="n">
        <v>45515</v>
      </c>
      <c r="E16" s="3" t="s">
        <v>29</v>
      </c>
      <c r="F16" s="10" t="n">
        <f aca="false">IF(OR($A16="",$D16=""),"",EDATE($D16,12*$B$4))</f>
        <v>46610</v>
      </c>
      <c r="G16" s="9" t="n">
        <v>45522</v>
      </c>
      <c r="H16" s="3" t="s">
        <v>42</v>
      </c>
      <c r="I16" s="10" t="n">
        <f aca="false">IF(OR($A16="",$G16=""),"",EDATE($G16,12*$B$5))</f>
        <v>46617</v>
      </c>
      <c r="J16" s="11" t="n">
        <f aca="false">IF($A16="","",IF(AND($F16="",$I16=""),"",MIN(IF($F16="",99999,$F16),IF($I16="",99999,$I16))-$B$3))</f>
        <v>291</v>
      </c>
      <c r="K16" s="12" t="str">
        <f aca="false">IF($A16="","",IF(OR($D16="",$G16=""),"MISSING ITEM",IF($J16&lt;0,"EXPIRED",IF($J16&lt;=$B$6,"EXPIRING SOON","CURRENT"))))</f>
        <v>CURRENT</v>
      </c>
      <c r="L16" s="3" t="s">
        <v>53</v>
      </c>
      <c r="M16" s="11" t="str">
        <f aca="false">IF(OR($K16="EXPIRED",$K16="EXPIRING SOON",$K16="MISSING ITEM"),COUNTIF($K$9:$K16,"EXPIRED")+COUNTIF($K$9:$K16,"EXPIRING SOON")+COUNTIF($K$9:$K16,"MISSING ITEM"),"")</f>
        <v/>
      </c>
    </row>
    <row r="17" customFormat="false" ht="15" hidden="false" customHeight="false" outlineLevel="0" collapsed="false">
      <c r="A17" s="3" t="s">
        <v>54</v>
      </c>
      <c r="B17" s="3" t="s">
        <v>50</v>
      </c>
      <c r="C17" s="3" t="s">
        <v>38</v>
      </c>
      <c r="D17" s="9" t="n">
        <v>45205</v>
      </c>
      <c r="E17" s="3" t="s">
        <v>34</v>
      </c>
      <c r="F17" s="10" t="n">
        <f aca="false">IF(OR($A17="",$D17=""),"",EDATE($D17,12*$B$4))</f>
        <v>46301</v>
      </c>
      <c r="G17" s="9" t="n">
        <v>45205</v>
      </c>
      <c r="H17" s="3" t="s">
        <v>34</v>
      </c>
      <c r="I17" s="10" t="n">
        <f aca="false">IF(OR($A17="",$G17=""),"",EDATE($G17,12*$B$5))</f>
        <v>46301</v>
      </c>
      <c r="J17" s="11" t="n">
        <f aca="false">IF($A17="","",IF(AND($F17="",$I17=""),"",MIN(IF($F17="",99999,$F17),IF($I17="",99999,$I17))-$B$3))</f>
        <v>-18</v>
      </c>
      <c r="K17" s="12" t="str">
        <f aca="false">IF($A17="","",IF(OR($D17="",$G17=""),"MISSING ITEM",IF($J17&lt;0,"EXPIRED",IF($J17&lt;=$B$6,"EXPIRING SOON","CURRENT"))))</f>
        <v>EXPIRED</v>
      </c>
      <c r="L17" s="3"/>
      <c r="M17" s="11" t="n">
        <f aca="false">IF(OR($K17="EXPIRED",$K17="EXPIRING SOON",$K17="MISSING ITEM"),COUNTIF($K$9:$K17,"EXPIRED")+COUNTIF($K$9:$K17,"EXPIRING SOON")+COUNTIF($K$9:$K17,"MISSING ITEM"),"")</f>
        <v>4</v>
      </c>
    </row>
    <row r="18" customFormat="false" ht="15" hidden="false" customHeight="false" outlineLevel="0" collapsed="false">
      <c r="A18" s="3" t="s">
        <v>55</v>
      </c>
      <c r="B18" s="3" t="s">
        <v>40</v>
      </c>
      <c r="C18" s="3" t="s">
        <v>41</v>
      </c>
      <c r="D18" s="9" t="n">
        <v>45404</v>
      </c>
      <c r="E18" s="3" t="s">
        <v>47</v>
      </c>
      <c r="F18" s="10" t="n">
        <f aca="false">IF(OR($A18="",$D18=""),"",EDATE($D18,12*$B$4))</f>
        <v>46499</v>
      </c>
      <c r="G18" s="9" t="n">
        <v>45411</v>
      </c>
      <c r="H18" s="3" t="s">
        <v>30</v>
      </c>
      <c r="I18" s="10" t="n">
        <f aca="false">IF(OR($A18="",$G18=""),"",EDATE($G18,12*$B$5))</f>
        <v>46506</v>
      </c>
      <c r="J18" s="11" t="n">
        <f aca="false">IF($A18="","",IF(AND($F18="",$I18=""),"",MIN(IF($F18="",99999,$F18),IF($I18="",99999,$I18))-$B$3))</f>
        <v>180</v>
      </c>
      <c r="K18" s="12" t="str">
        <f aca="false">IF($A18="","",IF(OR($D18="",$G18=""),"MISSING ITEM",IF($J18&lt;0,"EXPIRED",IF($J18&lt;=$B$6,"EXPIRING SOON","CURRENT"))))</f>
        <v>CURRENT</v>
      </c>
      <c r="L18" s="3"/>
      <c r="M18" s="11" t="str">
        <f aca="false">IF(OR($K18="EXPIRED",$K18="EXPIRING SOON",$K18="MISSING ITEM"),COUNTIF($K$9:$K18,"EXPIRED")+COUNTIF($K$9:$K18,"EXPIRING SOON")+COUNTIF($K$9:$K18,"MISSING ITEM"),"")</f>
        <v/>
      </c>
    </row>
    <row r="19" customFormat="false" ht="15" hidden="false" customHeight="false" outlineLevel="0" collapsed="false">
      <c r="A19" s="3" t="s">
        <v>56</v>
      </c>
      <c r="B19" s="3" t="s">
        <v>45</v>
      </c>
      <c r="C19" s="3" t="s">
        <v>46</v>
      </c>
      <c r="D19" s="9" t="n">
        <v>45628</v>
      </c>
      <c r="E19" s="3" t="s">
        <v>47</v>
      </c>
      <c r="F19" s="10" t="n">
        <f aca="false">IF(OR($A19="",$D19=""),"",EDATE($D19,12*$B$4))</f>
        <v>46723</v>
      </c>
      <c r="G19" s="9" t="n">
        <v>45635</v>
      </c>
      <c r="H19" s="3" t="s">
        <v>48</v>
      </c>
      <c r="I19" s="10" t="n">
        <f aca="false">IF(OR($A19="",$G19=""),"",EDATE($G19,12*$B$5))</f>
        <v>46730</v>
      </c>
      <c r="J19" s="11" t="n">
        <f aca="false">IF($A19="","",IF(AND($F19="",$I19=""),"",MIN(IF($F19="",99999,$F19),IF($I19="",99999,$I19))-$B$3))</f>
        <v>404</v>
      </c>
      <c r="K19" s="12" t="str">
        <f aca="false">IF($A19="","",IF(OR($D19="",$G19=""),"MISSING ITEM",IF($J19&lt;0,"EXPIRED",IF($J19&lt;=$B$6,"EXPIRING SOON","CURRENT"))))</f>
        <v>CURRENT</v>
      </c>
      <c r="L19" s="3"/>
      <c r="M19" s="11" t="str">
        <f aca="false">IF(OR($K19="EXPIRED",$K19="EXPIRING SOON",$K19="MISSING ITEM"),COUNTIF($K$9:$K19,"EXPIRED")+COUNTIF($K$9:$K19,"EXPIRING SOON")+COUNTIF($K$9:$K19,"MISSING ITEM"),"")</f>
        <v/>
      </c>
    </row>
    <row r="20" customFormat="false" ht="15" hidden="false" customHeight="false" outlineLevel="0" collapsed="false">
      <c r="A20" s="3" t="s">
        <v>57</v>
      </c>
      <c r="B20" s="3" t="s">
        <v>27</v>
      </c>
      <c r="C20" s="3" t="s">
        <v>28</v>
      </c>
      <c r="D20" s="9" t="n">
        <v>46287</v>
      </c>
      <c r="E20" s="3" t="s">
        <v>29</v>
      </c>
      <c r="F20" s="10" t="n">
        <f aca="false">IF(OR($A20="",$D20=""),"",EDATE($D20,12*$B$4))</f>
        <v>47383</v>
      </c>
      <c r="G20" s="9"/>
      <c r="H20" s="3"/>
      <c r="I20" s="10" t="str">
        <f aca="false">IF(OR($A20="",$G20=""),"",EDATE($G20,12*$B$5))</f>
        <v/>
      </c>
      <c r="J20" s="11" t="n">
        <f aca="false">IF($A20="","",IF(AND($F20="",$I20=""),"",MIN(IF($F20="",99999,$F20),IF($I20="",99999,$I20))-$B$3))</f>
        <v>1064</v>
      </c>
      <c r="K20" s="12" t="str">
        <f aca="false">IF($A20="","",IF(OR($D20="",$G20=""),"MISSING ITEM",IF($J20&lt;0,"EXPIRED",IF($J20&lt;=$B$6,"EXPIRING SOON","CURRENT"))))</f>
        <v>MISSING ITEM</v>
      </c>
      <c r="L20" s="3" t="s">
        <v>58</v>
      </c>
      <c r="M20" s="11" t="n">
        <f aca="false">IF(OR($K20="EXPIRED",$K20="EXPIRING SOON",$K20="MISSING ITEM"),COUNTIF($K$9:$K20,"EXPIRED")+COUNTIF($K$9:$K20,"EXPIRING SOON")+COUNTIF($K$9:$K20,"MISSING ITEM"),"")</f>
        <v>5</v>
      </c>
    </row>
    <row r="21" customFormat="false" ht="15" hidden="false" customHeight="false" outlineLevel="0" collapsed="false">
      <c r="A21" s="3" t="s">
        <v>59</v>
      </c>
      <c r="B21" s="3" t="s">
        <v>50</v>
      </c>
      <c r="C21" s="3" t="s">
        <v>38</v>
      </c>
      <c r="D21" s="9" t="n">
        <v>45487</v>
      </c>
      <c r="E21" s="3" t="s">
        <v>30</v>
      </c>
      <c r="F21" s="10" t="n">
        <f aca="false">IF(OR($A21="",$D21=""),"",EDATE($D21,12*$B$4))</f>
        <v>46582</v>
      </c>
      <c r="G21" s="9" t="n">
        <v>45494</v>
      </c>
      <c r="H21" s="3" t="s">
        <v>30</v>
      </c>
      <c r="I21" s="10" t="n">
        <f aca="false">IF(OR($A21="",$G21=""),"",EDATE($G21,12*$B$5))</f>
        <v>46589</v>
      </c>
      <c r="J21" s="11" t="n">
        <f aca="false">IF($A21="","",IF(AND($F21="",$I21=""),"",MIN(IF($F21="",99999,$F21),IF($I21="",99999,$I21))-$B$3))</f>
        <v>263</v>
      </c>
      <c r="K21" s="12" t="str">
        <f aca="false">IF($A21="","",IF(OR($D21="",$G21=""),"MISSING ITEM",IF($J21&lt;0,"EXPIRED",IF($J21&lt;=$B$6,"EXPIRING SOON","CURRENT"))))</f>
        <v>CURRENT</v>
      </c>
      <c r="L21" s="3"/>
      <c r="M21" s="11" t="str">
        <f aca="false">IF(OR($K21="EXPIRED",$K21="EXPIRING SOON",$K21="MISSING ITEM"),COUNTIF($K$9:$K21,"EXPIRED")+COUNTIF($K$9:$K21,"EXPIRING SOON")+COUNTIF($K$9:$K21,"MISSING ITEM"),"")</f>
        <v/>
      </c>
    </row>
    <row r="22" customFormat="false" ht="15" hidden="false" customHeight="false" outlineLevel="0" collapsed="false">
      <c r="A22" s="3" t="s">
        <v>60</v>
      </c>
      <c r="B22" s="3" t="s">
        <v>40</v>
      </c>
      <c r="C22" s="3" t="s">
        <v>41</v>
      </c>
      <c r="D22" s="9" t="n">
        <v>45257</v>
      </c>
      <c r="E22" s="3" t="s">
        <v>34</v>
      </c>
      <c r="F22" s="10" t="n">
        <f aca="false">IF(OR($A22="",$D22=""),"",EDATE($D22,12*$B$4))</f>
        <v>46353</v>
      </c>
      <c r="G22" s="9" t="n">
        <v>45257</v>
      </c>
      <c r="H22" s="3" t="s">
        <v>34</v>
      </c>
      <c r="I22" s="10" t="n">
        <f aca="false">IF(OR($A22="",$G22=""),"",EDATE($G22,12*$B$5))</f>
        <v>46353</v>
      </c>
      <c r="J22" s="11" t="n">
        <f aca="false">IF($A22="","",IF(AND($F22="",$I22=""),"",MIN(IF($F22="",99999,$F22),IF($I22="",99999,$I22))-$B$3))</f>
        <v>34</v>
      </c>
      <c r="K22" s="12" t="str">
        <f aca="false">IF($A22="","",IF(OR($D22="",$G22=""),"MISSING ITEM",IF($J22&lt;0,"EXPIRED",IF($J22&lt;=$B$6,"EXPIRING SOON","CURRENT"))))</f>
        <v>EXPIRING SOON</v>
      </c>
      <c r="L22" s="3"/>
      <c r="M22" s="11" t="n">
        <f aca="false">IF(OR($K22="EXPIRED",$K22="EXPIRING SOON",$K22="MISSING ITEM"),COUNTIF($K$9:$K22,"EXPIRED")+COUNTIF($K$9:$K22,"EXPIRING SOON")+COUNTIF($K$9:$K22,"MISSING ITEM"),"")</f>
        <v>6</v>
      </c>
    </row>
    <row r="23" customFormat="false" ht="15" hidden="false" customHeight="false" outlineLevel="0" collapsed="false">
      <c r="A23" s="3" t="s">
        <v>61</v>
      </c>
      <c r="B23" s="3" t="s">
        <v>62</v>
      </c>
      <c r="C23" s="3" t="s">
        <v>28</v>
      </c>
      <c r="D23" s="9" t="n">
        <v>45761</v>
      </c>
      <c r="E23" s="3" t="s">
        <v>30</v>
      </c>
      <c r="F23" s="10" t="n">
        <f aca="false">IF(OR($A23="",$D23=""),"",EDATE($D23,12*$B$4))</f>
        <v>46857</v>
      </c>
      <c r="G23" s="9" t="n">
        <v>45768</v>
      </c>
      <c r="H23" s="3" t="s">
        <v>30</v>
      </c>
      <c r="I23" s="10" t="n">
        <f aca="false">IF(OR($A23="",$G23=""),"",EDATE($G23,12*$B$5))</f>
        <v>46864</v>
      </c>
      <c r="J23" s="11" t="n">
        <f aca="false">IF($A23="","",IF(AND($F23="",$I23=""),"",MIN(IF($F23="",99999,$F23),IF($I23="",99999,$I23))-$B$3))</f>
        <v>538</v>
      </c>
      <c r="K23" s="12" t="str">
        <f aca="false">IF($A23="","",IF(OR($D23="",$G23=""),"MISSING ITEM",IF($J23&lt;0,"EXPIRED",IF($J23&lt;=$B$6,"EXPIRING SOON","CURRENT"))))</f>
        <v>CURRENT</v>
      </c>
      <c r="L23" s="3" t="s">
        <v>63</v>
      </c>
      <c r="M23" s="11" t="str">
        <f aca="false">IF(OR($K23="EXPIRED",$K23="EXPIRING SOON",$K23="MISSING ITEM"),COUNTIF($K$9:$K23,"EXPIRED")+COUNTIF($K$9:$K23,"EXPIRING SOON")+COUNTIF($K$9:$K23,"MISSING ITEM"),"")</f>
        <v/>
      </c>
    </row>
    <row r="24" customFormat="false" ht="15" hidden="false" customHeight="false" outlineLevel="0" collapsed="false">
      <c r="A24" s="3" t="s">
        <v>64</v>
      </c>
      <c r="B24" s="3" t="s">
        <v>32</v>
      </c>
      <c r="C24" s="3" t="s">
        <v>33</v>
      </c>
      <c r="D24" s="9" t="n">
        <v>45200</v>
      </c>
      <c r="E24" s="3" t="s">
        <v>29</v>
      </c>
      <c r="F24" s="10" t="n">
        <f aca="false">IF(OR($A24="",$D24=""),"",EDATE($D24,12*$B$4))</f>
        <v>46296</v>
      </c>
      <c r="G24" s="9" t="n">
        <v>45207</v>
      </c>
      <c r="H24" s="3" t="s">
        <v>42</v>
      </c>
      <c r="I24" s="10" t="n">
        <f aca="false">IF(OR($A24="",$G24=""),"",EDATE($G24,12*$B$5))</f>
        <v>46303</v>
      </c>
      <c r="J24" s="11" t="n">
        <f aca="false">IF($A24="","",IF(AND($F24="",$I24=""),"",MIN(IF($F24="",99999,$F24),IF($I24="",99999,$I24))-$B$3))</f>
        <v>-23</v>
      </c>
      <c r="K24" s="12" t="str">
        <f aca="false">IF($A24="","",IF(OR($D24="",$G24=""),"MISSING ITEM",IF($J24&lt;0,"EXPIRED",IF($J24&lt;=$B$6,"EXPIRING SOON","CURRENT"))))</f>
        <v>EXPIRED</v>
      </c>
      <c r="L24" s="3" t="s">
        <v>65</v>
      </c>
      <c r="M24" s="11" t="n">
        <f aca="false">IF(OR($K24="EXPIRED",$K24="EXPIRING SOON",$K24="MISSING ITEM"),COUNTIF($K$9:$K24,"EXPIRED")+COUNTIF($K$9:$K24,"EXPIRING SOON")+COUNTIF($K$9:$K24,"MISSING ITEM"),"")</f>
        <v>7</v>
      </c>
    </row>
    <row r="25" customFormat="false" ht="15" hidden="false" customHeight="false" outlineLevel="0" collapsed="false">
      <c r="A25" s="3" t="s">
        <v>66</v>
      </c>
      <c r="B25" s="3" t="s">
        <v>27</v>
      </c>
      <c r="C25" s="3" t="s">
        <v>28</v>
      </c>
      <c r="D25" s="9" t="n">
        <v>45574</v>
      </c>
      <c r="E25" s="3" t="s">
        <v>30</v>
      </c>
      <c r="F25" s="10" t="n">
        <f aca="false">IF(OR($A25="",$D25=""),"",EDATE($D25,12*$B$4))</f>
        <v>46669</v>
      </c>
      <c r="G25" s="9" t="n">
        <v>45581</v>
      </c>
      <c r="H25" s="3" t="s">
        <v>30</v>
      </c>
      <c r="I25" s="10" t="n">
        <f aca="false">IF(OR($A25="",$G25=""),"",EDATE($G25,12*$B$5))</f>
        <v>46676</v>
      </c>
      <c r="J25" s="11" t="n">
        <f aca="false">IF($A25="","",IF(AND($F25="",$I25=""),"",MIN(IF($F25="",99999,$F25),IF($I25="",99999,$I25))-$B$3))</f>
        <v>350</v>
      </c>
      <c r="K25" s="12" t="str">
        <f aca="false">IF($A25="","",IF(OR($D25="",$G25=""),"MISSING ITEM",IF($J25&lt;0,"EXPIRED",IF($J25&lt;=$B$6,"EXPIRING SOON","CURRENT"))))</f>
        <v>CURRENT</v>
      </c>
      <c r="L25" s="3"/>
      <c r="M25" s="11" t="str">
        <f aca="false">IF(OR($K25="EXPIRED",$K25="EXPIRING SOON",$K25="MISSING ITEM"),COUNTIF($K$9:$K25,"EXPIRED")+COUNTIF($K$9:$K25,"EXPIRING SOON")+COUNTIF($K$9:$K25,"MISSING ITEM"),"")</f>
        <v/>
      </c>
    </row>
    <row r="26" customFormat="false" ht="15" hidden="false" customHeight="false" outlineLevel="0" collapsed="false">
      <c r="A26" s="3" t="s">
        <v>67</v>
      </c>
      <c r="B26" s="3" t="s">
        <v>40</v>
      </c>
      <c r="C26" s="3" t="s">
        <v>41</v>
      </c>
      <c r="D26" s="9" t="n">
        <v>45343</v>
      </c>
      <c r="E26" s="3" t="s">
        <v>47</v>
      </c>
      <c r="F26" s="10" t="n">
        <f aca="false">IF(OR($A26="",$D26=""),"",EDATE($D26,12*$B$4))</f>
        <v>46439</v>
      </c>
      <c r="G26" s="9" t="n">
        <v>45350</v>
      </c>
      <c r="H26" s="3" t="s">
        <v>30</v>
      </c>
      <c r="I26" s="10" t="n">
        <f aca="false">IF(OR($A26="",$G26=""),"",EDATE($G26,12*$B$5))</f>
        <v>46446</v>
      </c>
      <c r="J26" s="11" t="n">
        <f aca="false">IF($A26="","",IF(AND($F26="",$I26=""),"",MIN(IF($F26="",99999,$F26),IF($I26="",99999,$I26))-$B$3))</f>
        <v>120</v>
      </c>
      <c r="K26" s="12" t="str">
        <f aca="false">IF($A26="","",IF(OR($D26="",$G26=""),"MISSING ITEM",IF($J26&lt;0,"EXPIRED",IF($J26&lt;=$B$6,"EXPIRING SOON","CURRENT"))))</f>
        <v>CURRENT</v>
      </c>
      <c r="L26" s="3"/>
      <c r="M26" s="11" t="str">
        <f aca="false">IF(OR($K26="EXPIRED",$K26="EXPIRING SOON",$K26="MISSING ITEM"),COUNTIF($K$9:$K26,"EXPIRED")+COUNTIF($K$9:$K26,"EXPIRING SOON")+COUNTIF($K$9:$K26,"MISSING ITEM"),"")</f>
        <v/>
      </c>
    </row>
    <row r="27" customFormat="false" ht="15" hidden="false" customHeight="false" outlineLevel="0" collapsed="false">
      <c r="A27" s="3" t="s">
        <v>68</v>
      </c>
      <c r="B27" s="3" t="s">
        <v>50</v>
      </c>
      <c r="C27" s="3" t="s">
        <v>38</v>
      </c>
      <c r="D27" s="9" t="n">
        <v>45694</v>
      </c>
      <c r="E27" s="3" t="s">
        <v>34</v>
      </c>
      <c r="F27" s="10" t="n">
        <f aca="false">IF(OR($A27="",$D27=""),"",EDATE($D27,12*$B$4))</f>
        <v>46789</v>
      </c>
      <c r="G27" s="9" t="n">
        <v>45701</v>
      </c>
      <c r="H27" s="3" t="s">
        <v>34</v>
      </c>
      <c r="I27" s="10" t="n">
        <f aca="false">IF(OR($A27="",$G27=""),"",EDATE($G27,12*$B$5))</f>
        <v>46796</v>
      </c>
      <c r="J27" s="11" t="n">
        <f aca="false">IF($A27="","",IF(AND($F27="",$I27=""),"",MIN(IF($F27="",99999,$F27),IF($I27="",99999,$I27))-$B$3))</f>
        <v>470</v>
      </c>
      <c r="K27" s="12" t="str">
        <f aca="false">IF($A27="","",IF(OR($D27="",$G27=""),"MISSING ITEM",IF($J27&lt;0,"EXPIRED",IF($J27&lt;=$B$6,"EXPIRING SOON","CURRENT"))))</f>
        <v>CURRENT</v>
      </c>
      <c r="L27" s="3"/>
      <c r="M27" s="11" t="str">
        <f aca="false">IF(OR($K27="EXPIRED",$K27="EXPIRING SOON",$K27="MISSING ITEM"),COUNTIF($K$9:$K27,"EXPIRED")+COUNTIF($K$9:$K27,"EXPIRING SOON")+COUNTIF($K$9:$K27,"MISSING ITEM"),"")</f>
        <v/>
      </c>
    </row>
    <row r="28" customFormat="false" ht="15" hidden="false" customHeight="false" outlineLevel="0" collapsed="false">
      <c r="A28" s="3" t="s">
        <v>69</v>
      </c>
      <c r="B28" s="3" t="s">
        <v>50</v>
      </c>
      <c r="C28" s="3" t="s">
        <v>38</v>
      </c>
      <c r="D28" s="9" t="n">
        <v>45446</v>
      </c>
      <c r="E28" s="3" t="s">
        <v>29</v>
      </c>
      <c r="F28" s="10" t="n">
        <f aca="false">IF(OR($A28="",$D28=""),"",EDATE($D28,12*$B$4))</f>
        <v>46541</v>
      </c>
      <c r="G28" s="9" t="n">
        <v>45453</v>
      </c>
      <c r="H28" s="3" t="s">
        <v>42</v>
      </c>
      <c r="I28" s="10" t="n">
        <f aca="false">IF(OR($A28="",$G28=""),"",EDATE($G28,12*$B$5))</f>
        <v>46548</v>
      </c>
      <c r="J28" s="11" t="n">
        <f aca="false">IF($A28="","",IF(AND($F28="",$I28=""),"",MIN(IF($F28="",99999,$F28),IF($I28="",99999,$I28))-$B$3))</f>
        <v>222</v>
      </c>
      <c r="K28" s="12" t="str">
        <f aca="false">IF($A28="","",IF(OR($D28="",$G28=""),"MISSING ITEM",IF($J28&lt;0,"EXPIRED",IF($J28&lt;=$B$6,"EXPIRING SOON","CURRENT"))))</f>
        <v>CURRENT</v>
      </c>
      <c r="L28" s="3"/>
      <c r="M28" s="11" t="str">
        <f aca="false">IF(OR($K28="EXPIRED",$K28="EXPIRING SOON",$K28="MISSING ITEM"),COUNTIF($K$9:$K28,"EXPIRED")+COUNTIF($K$9:$K28,"EXPIRING SOON")+COUNTIF($K$9:$K28,"MISSING ITEM"),"")</f>
        <v/>
      </c>
    </row>
    <row r="29" customFormat="false" ht="15" hidden="false" customHeight="false" outlineLevel="0" collapsed="false">
      <c r="A29" s="3" t="s">
        <v>70</v>
      </c>
      <c r="B29" s="3" t="s">
        <v>50</v>
      </c>
      <c r="C29" s="3" t="s">
        <v>38</v>
      </c>
      <c r="D29" s="9" t="n">
        <v>45524</v>
      </c>
      <c r="E29" s="3" t="s">
        <v>30</v>
      </c>
      <c r="F29" s="10" t="n">
        <f aca="false">IF(OR($A29="",$D29=""),"",EDATE($D29,12*$B$4))</f>
        <v>46619</v>
      </c>
      <c r="G29" s="9" t="n">
        <v>45531</v>
      </c>
      <c r="H29" s="3" t="s">
        <v>30</v>
      </c>
      <c r="I29" s="10" t="n">
        <f aca="false">IF(OR($A29="",$G29=""),"",EDATE($G29,12*$B$5))</f>
        <v>46626</v>
      </c>
      <c r="J29" s="11" t="n">
        <f aca="false">IF($A29="","",IF(AND($F29="",$I29=""),"",MIN(IF($F29="",99999,$F29),IF($I29="",99999,$I29))-$B$3))</f>
        <v>300</v>
      </c>
      <c r="K29" s="12" t="str">
        <f aca="false">IF($A29="","",IF(OR($D29="",$G29=""),"MISSING ITEM",IF($J29&lt;0,"EXPIRED",IF($J29&lt;=$B$6,"EXPIRING SOON","CURRENT"))))</f>
        <v>CURRENT</v>
      </c>
      <c r="L29" s="3"/>
      <c r="M29" s="11" t="str">
        <f aca="false">IF(OR($K29="EXPIRED",$K29="EXPIRING SOON",$K29="MISSING ITEM"),COUNTIF($K$9:$K29,"EXPIRED")+COUNTIF($K$9:$K29,"EXPIRING SOON")+COUNTIF($K$9:$K29,"MISSING ITEM"),"")</f>
        <v/>
      </c>
    </row>
    <row r="30" customFormat="false" ht="15" hidden="false" customHeight="false" outlineLevel="0" collapsed="false">
      <c r="A30" s="3" t="s">
        <v>71</v>
      </c>
      <c r="B30" s="3" t="s">
        <v>72</v>
      </c>
      <c r="C30" s="3" t="s">
        <v>41</v>
      </c>
      <c r="D30" s="9" t="n">
        <v>45374</v>
      </c>
      <c r="E30" s="3" t="s">
        <v>47</v>
      </c>
      <c r="F30" s="10" t="n">
        <f aca="false">IF(OR($A30="",$D30=""),"",EDATE($D30,12*$B$4))</f>
        <v>46469</v>
      </c>
      <c r="G30" s="9" t="n">
        <v>45381</v>
      </c>
      <c r="H30" s="3" t="s">
        <v>48</v>
      </c>
      <c r="I30" s="10" t="n">
        <f aca="false">IF(OR($A30="",$G30=""),"",EDATE($G30,12*$B$5))</f>
        <v>46476</v>
      </c>
      <c r="J30" s="11" t="n">
        <f aca="false">IF($A30="","",IF(AND($F30="",$I30=""),"",MIN(IF($F30="",99999,$F30),IF($I30="",99999,$I30))-$B$3))</f>
        <v>150</v>
      </c>
      <c r="K30" s="12" t="str">
        <f aca="false">IF($A30="","",IF(OR($D30="",$G30=""),"MISSING ITEM",IF($J30&lt;0,"EXPIRED",IF($J30&lt;=$B$6,"EXPIRING SOON","CURRENT"))))</f>
        <v>CURRENT</v>
      </c>
      <c r="L30" s="3"/>
      <c r="M30" s="11" t="str">
        <f aca="false">IF(OR($K30="EXPIRED",$K30="EXPIRING SOON",$K30="MISSING ITEM"),COUNTIF($K$9:$K30,"EXPIRED")+COUNTIF($K$9:$K30,"EXPIRING SOON")+COUNTIF($K$9:$K30,"MISSING ITEM"),"")</f>
        <v/>
      </c>
    </row>
    <row r="31" customFormat="false" ht="15" hidden="false" customHeight="false" outlineLevel="0" collapsed="false">
      <c r="A31" s="3" t="s">
        <v>73</v>
      </c>
      <c r="B31" s="3" t="s">
        <v>45</v>
      </c>
      <c r="C31" s="3" t="s">
        <v>46</v>
      </c>
      <c r="D31" s="9" t="n">
        <v>45614</v>
      </c>
      <c r="E31" s="3" t="s">
        <v>47</v>
      </c>
      <c r="F31" s="10" t="n">
        <f aca="false">IF(OR($A31="",$D31=""),"",EDATE($D31,12*$B$4))</f>
        <v>46709</v>
      </c>
      <c r="G31" s="9" t="n">
        <v>45621</v>
      </c>
      <c r="H31" s="3" t="s">
        <v>48</v>
      </c>
      <c r="I31" s="10" t="n">
        <f aca="false">IF(OR($A31="",$G31=""),"",EDATE($G31,12*$B$5))</f>
        <v>46716</v>
      </c>
      <c r="J31" s="11" t="n">
        <f aca="false">IF($A31="","",IF(AND($F31="",$I31=""),"",MIN(IF($F31="",99999,$F31),IF($I31="",99999,$I31))-$B$3))</f>
        <v>390</v>
      </c>
      <c r="K31" s="12" t="str">
        <f aca="false">IF($A31="","",IF(OR($D31="",$G31=""),"MISSING ITEM",IF($J31&lt;0,"EXPIRED",IF($J31&lt;=$B$6,"EXPIRING SOON","CURRENT"))))</f>
        <v>CURRENT</v>
      </c>
      <c r="L31" s="3"/>
      <c r="M31" s="11" t="str">
        <f aca="false">IF(OR($K31="EXPIRED",$K31="EXPIRING SOON",$K31="MISSING ITEM"),COUNTIF($K$9:$K31,"EXPIRED")+COUNTIF($K$9:$K31,"EXPIRING SOON")+COUNTIF($K$9:$K31,"MISSING ITEM"),"")</f>
        <v/>
      </c>
    </row>
    <row r="32" customFormat="false" ht="15" hidden="false" customHeight="false" outlineLevel="0" collapsed="false">
      <c r="A32" s="3" t="s">
        <v>74</v>
      </c>
      <c r="B32" s="3" t="s">
        <v>45</v>
      </c>
      <c r="C32" s="3" t="s">
        <v>46</v>
      </c>
      <c r="D32" s="9" t="n">
        <v>45271</v>
      </c>
      <c r="E32" s="3" t="s">
        <v>34</v>
      </c>
      <c r="F32" s="10" t="n">
        <f aca="false">IF(OR($A32="",$D32=""),"",EDATE($D32,12*$B$4))</f>
        <v>46367</v>
      </c>
      <c r="G32" s="9" t="n">
        <v>45278</v>
      </c>
      <c r="H32" s="3" t="s">
        <v>34</v>
      </c>
      <c r="I32" s="10" t="n">
        <f aca="false">IF(OR($A32="",$G32=""),"",EDATE($G32,12*$B$5))</f>
        <v>46374</v>
      </c>
      <c r="J32" s="11" t="n">
        <f aca="false">IF($A32="","",IF(AND($F32="",$I32=""),"",MIN(IF($F32="",99999,$F32),IF($I32="",99999,$I32))-$B$3))</f>
        <v>48</v>
      </c>
      <c r="K32" s="12" t="str">
        <f aca="false">IF($A32="","",IF(OR($D32="",$G32=""),"MISSING ITEM",IF($J32&lt;0,"EXPIRED",IF($J32&lt;=$B$6,"EXPIRING SOON","CURRENT"))))</f>
        <v>EXPIRING SOON</v>
      </c>
      <c r="L32" s="3" t="s">
        <v>75</v>
      </c>
      <c r="M32" s="11" t="n">
        <f aca="false">IF(OR($K32="EXPIRED",$K32="EXPIRING SOON",$K32="MISSING ITEM"),COUNTIF($K$9:$K32,"EXPIRED")+COUNTIF($K$9:$K32,"EXPIRING SOON")+COUNTIF($K$9:$K32,"MISSING ITEM"),"")</f>
        <v>8</v>
      </c>
    </row>
    <row r="33" customFormat="false" ht="15" hidden="false" customHeight="false" outlineLevel="0" collapsed="false">
      <c r="A33" s="3"/>
      <c r="B33" s="3"/>
      <c r="C33" s="3"/>
      <c r="D33" s="9"/>
      <c r="E33" s="3"/>
      <c r="F33" s="10" t="str">
        <f aca="false">IF(OR($A33="",$D33=""),"",EDATE($D33,12*$B$4))</f>
        <v/>
      </c>
      <c r="G33" s="9"/>
      <c r="H33" s="3"/>
      <c r="I33" s="10" t="str">
        <f aca="false">IF(OR($A33="",$G33=""),"",EDATE($G33,12*$B$5))</f>
        <v/>
      </c>
      <c r="J33" s="11" t="str">
        <f aca="false">IF($A33="","",IF(AND($F33="",$I33=""),"",MIN(IF($F33="",99999,$F33),IF($I33="",99999,$I33))-$B$3))</f>
        <v/>
      </c>
      <c r="K33" s="12" t="str">
        <f aca="false">IF($A33="","",IF(OR($D33="",$G33=""),"MISSING ITEM",IF($J33&lt;0,"EXPIRED",IF($J33&lt;=$B$6,"EXPIRING SOON","CURRENT"))))</f>
        <v/>
      </c>
      <c r="L33" s="3"/>
      <c r="M33" s="11" t="str">
        <f aca="false">IF(OR($K33="EXPIRED",$K33="EXPIRING SOON",$K33="MISSING ITEM"),COUNTIF($K$9:$K33,"EXPIRED")+COUNTIF($K$9:$K33,"EXPIRING SOON")+COUNTIF($K$9:$K33,"MISSING ITEM"),"")</f>
        <v/>
      </c>
    </row>
    <row r="34" customFormat="false" ht="15" hidden="false" customHeight="false" outlineLevel="0" collapsed="false">
      <c r="A34" s="3"/>
      <c r="B34" s="3"/>
      <c r="C34" s="3"/>
      <c r="D34" s="9"/>
      <c r="E34" s="3"/>
      <c r="F34" s="10" t="str">
        <f aca="false">IF(OR($A34="",$D34=""),"",EDATE($D34,12*$B$4))</f>
        <v/>
      </c>
      <c r="G34" s="9"/>
      <c r="H34" s="3"/>
      <c r="I34" s="10" t="str">
        <f aca="false">IF(OR($A34="",$G34=""),"",EDATE($G34,12*$B$5))</f>
        <v/>
      </c>
      <c r="J34" s="11" t="str">
        <f aca="false">IF($A34="","",IF(AND($F34="",$I34=""),"",MIN(IF($F34="",99999,$F34),IF($I34="",99999,$I34))-$B$3))</f>
        <v/>
      </c>
      <c r="K34" s="12" t="str">
        <f aca="false">IF($A34="","",IF(OR($D34="",$G34=""),"MISSING ITEM",IF($J34&lt;0,"EXPIRED",IF($J34&lt;=$B$6,"EXPIRING SOON","CURRENT"))))</f>
        <v/>
      </c>
      <c r="L34" s="3"/>
      <c r="M34" s="11" t="str">
        <f aca="false">IF(OR($K34="EXPIRED",$K34="EXPIRING SOON",$K34="MISSING ITEM"),COUNTIF($K$9:$K34,"EXPIRED")+COUNTIF($K$9:$K34,"EXPIRING SOON")+COUNTIF($K$9:$K34,"MISSING ITEM"),"")</f>
        <v/>
      </c>
    </row>
    <row r="35" customFormat="false" ht="15" hidden="false" customHeight="false" outlineLevel="0" collapsed="false">
      <c r="A35" s="3"/>
      <c r="B35" s="3"/>
      <c r="C35" s="3"/>
      <c r="D35" s="9"/>
      <c r="E35" s="3"/>
      <c r="F35" s="10" t="str">
        <f aca="false">IF(OR($A35="",$D35=""),"",EDATE($D35,12*$B$4))</f>
        <v/>
      </c>
      <c r="G35" s="9"/>
      <c r="H35" s="3"/>
      <c r="I35" s="10" t="str">
        <f aca="false">IF(OR($A35="",$G35=""),"",EDATE($G35,12*$B$5))</f>
        <v/>
      </c>
      <c r="J35" s="11" t="str">
        <f aca="false">IF($A35="","",IF(AND($F35="",$I35=""),"",MIN(IF($F35="",99999,$F35),IF($I35="",99999,$I35))-$B$3))</f>
        <v/>
      </c>
      <c r="K35" s="12" t="str">
        <f aca="false">IF($A35="","",IF(OR($D35="",$G35=""),"MISSING ITEM",IF($J35&lt;0,"EXPIRED",IF($J35&lt;=$B$6,"EXPIRING SOON","CURRENT"))))</f>
        <v/>
      </c>
      <c r="L35" s="3"/>
      <c r="M35" s="11" t="str">
        <f aca="false">IF(OR($K35="EXPIRED",$K35="EXPIRING SOON",$K35="MISSING ITEM"),COUNTIF($K$9:$K35,"EXPIRED")+COUNTIF($K$9:$K35,"EXPIRING SOON")+COUNTIF($K$9:$K35,"MISSING ITEM"),"")</f>
        <v/>
      </c>
    </row>
    <row r="36" customFormat="false" ht="15" hidden="false" customHeight="false" outlineLevel="0" collapsed="false">
      <c r="A36" s="3"/>
      <c r="B36" s="3"/>
      <c r="C36" s="3"/>
      <c r="D36" s="9"/>
      <c r="E36" s="3"/>
      <c r="F36" s="10" t="str">
        <f aca="false">IF(OR($A36="",$D36=""),"",EDATE($D36,12*$B$4))</f>
        <v/>
      </c>
      <c r="G36" s="9"/>
      <c r="H36" s="3"/>
      <c r="I36" s="10" t="str">
        <f aca="false">IF(OR($A36="",$G36=""),"",EDATE($G36,12*$B$5))</f>
        <v/>
      </c>
      <c r="J36" s="11" t="str">
        <f aca="false">IF($A36="","",IF(AND($F36="",$I36=""),"",MIN(IF($F36="",99999,$F36),IF($I36="",99999,$I36))-$B$3))</f>
        <v/>
      </c>
      <c r="K36" s="12" t="str">
        <f aca="false">IF($A36="","",IF(OR($D36="",$G36=""),"MISSING ITEM",IF($J36&lt;0,"EXPIRED",IF($J36&lt;=$B$6,"EXPIRING SOON","CURRENT"))))</f>
        <v/>
      </c>
      <c r="L36" s="3"/>
      <c r="M36" s="11" t="str">
        <f aca="false">IF(OR($K36="EXPIRED",$K36="EXPIRING SOON",$K36="MISSING ITEM"),COUNTIF($K$9:$K36,"EXPIRED")+COUNTIF($K$9:$K36,"EXPIRING SOON")+COUNTIF($K$9:$K36,"MISSING ITEM"),"")</f>
        <v/>
      </c>
    </row>
    <row r="37" customFormat="false" ht="15" hidden="false" customHeight="false" outlineLevel="0" collapsed="false">
      <c r="A37" s="3"/>
      <c r="B37" s="3"/>
      <c r="C37" s="3"/>
      <c r="D37" s="9"/>
      <c r="E37" s="3"/>
      <c r="F37" s="10" t="str">
        <f aca="false">IF(OR($A37="",$D37=""),"",EDATE($D37,12*$B$4))</f>
        <v/>
      </c>
      <c r="G37" s="9"/>
      <c r="H37" s="3"/>
      <c r="I37" s="10" t="str">
        <f aca="false">IF(OR($A37="",$G37=""),"",EDATE($G37,12*$B$5))</f>
        <v/>
      </c>
      <c r="J37" s="11" t="str">
        <f aca="false">IF($A37="","",IF(AND($F37="",$I37=""),"",MIN(IF($F37="",99999,$F37),IF($I37="",99999,$I37))-$B$3))</f>
        <v/>
      </c>
      <c r="K37" s="12" t="str">
        <f aca="false">IF($A37="","",IF(OR($D37="",$G37=""),"MISSING ITEM",IF($J37&lt;0,"EXPIRED",IF($J37&lt;=$B$6,"EXPIRING SOON","CURRENT"))))</f>
        <v/>
      </c>
      <c r="L37" s="3"/>
      <c r="M37" s="11" t="str">
        <f aca="false">IF(OR($K37="EXPIRED",$K37="EXPIRING SOON",$K37="MISSING ITEM"),COUNTIF($K$9:$K37,"EXPIRED")+COUNTIF($K$9:$K37,"EXPIRING SOON")+COUNTIF($K$9:$K37,"MISSING ITEM"),"")</f>
        <v/>
      </c>
    </row>
    <row r="38" customFormat="false" ht="15" hidden="false" customHeight="false" outlineLevel="0" collapsed="false">
      <c r="A38" s="3"/>
      <c r="B38" s="3"/>
      <c r="C38" s="3"/>
      <c r="D38" s="9"/>
      <c r="E38" s="3"/>
      <c r="F38" s="10" t="str">
        <f aca="false">IF(OR($A38="",$D38=""),"",EDATE($D38,12*$B$4))</f>
        <v/>
      </c>
      <c r="G38" s="9"/>
      <c r="H38" s="3"/>
      <c r="I38" s="10" t="str">
        <f aca="false">IF(OR($A38="",$G38=""),"",EDATE($G38,12*$B$5))</f>
        <v/>
      </c>
      <c r="J38" s="11" t="str">
        <f aca="false">IF($A38="","",IF(AND($F38="",$I38=""),"",MIN(IF($F38="",99999,$F38),IF($I38="",99999,$I38))-$B$3))</f>
        <v/>
      </c>
      <c r="K38" s="12" t="str">
        <f aca="false">IF($A38="","",IF(OR($D38="",$G38=""),"MISSING ITEM",IF($J38&lt;0,"EXPIRED",IF($J38&lt;=$B$6,"EXPIRING SOON","CURRENT"))))</f>
        <v/>
      </c>
      <c r="L38" s="3"/>
      <c r="M38" s="11" t="str">
        <f aca="false">IF(OR($K38="EXPIRED",$K38="EXPIRING SOON",$K38="MISSING ITEM"),COUNTIF($K$9:$K38,"EXPIRED")+COUNTIF($K$9:$K38,"EXPIRING SOON")+COUNTIF($K$9:$K38,"MISSING ITEM"),"")</f>
        <v/>
      </c>
    </row>
    <row r="39" customFormat="false" ht="15" hidden="false" customHeight="false" outlineLevel="0" collapsed="false">
      <c r="A39" s="3"/>
      <c r="B39" s="3"/>
      <c r="C39" s="3"/>
      <c r="D39" s="9"/>
      <c r="E39" s="3"/>
      <c r="F39" s="10" t="str">
        <f aca="false">IF(OR($A39="",$D39=""),"",EDATE($D39,12*$B$4))</f>
        <v/>
      </c>
      <c r="G39" s="9"/>
      <c r="H39" s="3"/>
      <c r="I39" s="10" t="str">
        <f aca="false">IF(OR($A39="",$G39=""),"",EDATE($G39,12*$B$5))</f>
        <v/>
      </c>
      <c r="J39" s="11" t="str">
        <f aca="false">IF($A39="","",IF(AND($F39="",$I39=""),"",MIN(IF($F39="",99999,$F39),IF($I39="",99999,$I39))-$B$3))</f>
        <v/>
      </c>
      <c r="K39" s="12" t="str">
        <f aca="false">IF($A39="","",IF(OR($D39="",$G39=""),"MISSING ITEM",IF($J39&lt;0,"EXPIRED",IF($J39&lt;=$B$6,"EXPIRING SOON","CURRENT"))))</f>
        <v/>
      </c>
      <c r="L39" s="3"/>
      <c r="M39" s="11" t="str">
        <f aca="false">IF(OR($K39="EXPIRED",$K39="EXPIRING SOON",$K39="MISSING ITEM"),COUNTIF($K$9:$K39,"EXPIRED")+COUNTIF($K$9:$K39,"EXPIRING SOON")+COUNTIF($K$9:$K39,"MISSING ITEM"),"")</f>
        <v/>
      </c>
    </row>
    <row r="40" customFormat="false" ht="15" hidden="false" customHeight="false" outlineLevel="0" collapsed="false">
      <c r="A40" s="3"/>
      <c r="B40" s="3"/>
      <c r="C40" s="3"/>
      <c r="D40" s="9"/>
      <c r="E40" s="3"/>
      <c r="F40" s="10" t="str">
        <f aca="false">IF(OR($A40="",$D40=""),"",EDATE($D40,12*$B$4))</f>
        <v/>
      </c>
      <c r="G40" s="9"/>
      <c r="H40" s="3"/>
      <c r="I40" s="10" t="str">
        <f aca="false">IF(OR($A40="",$G40=""),"",EDATE($G40,12*$B$5))</f>
        <v/>
      </c>
      <c r="J40" s="11" t="str">
        <f aca="false">IF($A40="","",IF(AND($F40="",$I40=""),"",MIN(IF($F40="",99999,$F40),IF($I40="",99999,$I40))-$B$3))</f>
        <v/>
      </c>
      <c r="K40" s="12" t="str">
        <f aca="false">IF($A40="","",IF(OR($D40="",$G40=""),"MISSING ITEM",IF($J40&lt;0,"EXPIRED",IF($J40&lt;=$B$6,"EXPIRING SOON","CURRENT"))))</f>
        <v/>
      </c>
      <c r="L40" s="3"/>
      <c r="M40" s="11" t="str">
        <f aca="false">IF(OR($K40="EXPIRED",$K40="EXPIRING SOON",$K40="MISSING ITEM"),COUNTIF($K$9:$K40,"EXPIRED")+COUNTIF($K$9:$K40,"EXPIRING SOON")+COUNTIF($K$9:$K40,"MISSING ITEM"),"")</f>
        <v/>
      </c>
    </row>
    <row r="41" customFormat="false" ht="15" hidden="false" customHeight="false" outlineLevel="0" collapsed="false">
      <c r="A41" s="3"/>
      <c r="B41" s="3"/>
      <c r="C41" s="3"/>
      <c r="D41" s="9"/>
      <c r="E41" s="3"/>
      <c r="F41" s="10" t="str">
        <f aca="false">IF(OR($A41="",$D41=""),"",EDATE($D41,12*$B$4))</f>
        <v/>
      </c>
      <c r="G41" s="9"/>
      <c r="H41" s="3"/>
      <c r="I41" s="10" t="str">
        <f aca="false">IF(OR($A41="",$G41=""),"",EDATE($G41,12*$B$5))</f>
        <v/>
      </c>
      <c r="J41" s="11" t="str">
        <f aca="false">IF($A41="","",IF(AND($F41="",$I41=""),"",MIN(IF($F41="",99999,$F41),IF($I41="",99999,$I41))-$B$3))</f>
        <v/>
      </c>
      <c r="K41" s="12" t="str">
        <f aca="false">IF($A41="","",IF(OR($D41="",$G41=""),"MISSING ITEM",IF($J41&lt;0,"EXPIRED",IF($J41&lt;=$B$6,"EXPIRING SOON","CURRENT"))))</f>
        <v/>
      </c>
      <c r="L41" s="3"/>
      <c r="M41" s="11" t="str">
        <f aca="false">IF(OR($K41="EXPIRED",$K41="EXPIRING SOON",$K41="MISSING ITEM"),COUNTIF($K$9:$K41,"EXPIRED")+COUNTIF($K$9:$K41,"EXPIRING SOON")+COUNTIF($K$9:$K41,"MISSING ITEM"),"")</f>
        <v/>
      </c>
    </row>
    <row r="42" customFormat="false" ht="15" hidden="false" customHeight="false" outlineLevel="0" collapsed="false">
      <c r="A42" s="3"/>
      <c r="B42" s="3"/>
      <c r="C42" s="3"/>
      <c r="D42" s="9"/>
      <c r="E42" s="3"/>
      <c r="F42" s="10" t="str">
        <f aca="false">IF(OR($A42="",$D42=""),"",EDATE($D42,12*$B$4))</f>
        <v/>
      </c>
      <c r="G42" s="9"/>
      <c r="H42" s="3"/>
      <c r="I42" s="10" t="str">
        <f aca="false">IF(OR($A42="",$G42=""),"",EDATE($G42,12*$B$5))</f>
        <v/>
      </c>
      <c r="J42" s="11" t="str">
        <f aca="false">IF($A42="","",IF(AND($F42="",$I42=""),"",MIN(IF($F42="",99999,$F42),IF($I42="",99999,$I42))-$B$3))</f>
        <v/>
      </c>
      <c r="K42" s="12" t="str">
        <f aca="false">IF($A42="","",IF(OR($D42="",$G42=""),"MISSING ITEM",IF($J42&lt;0,"EXPIRED",IF($J42&lt;=$B$6,"EXPIRING SOON","CURRENT"))))</f>
        <v/>
      </c>
      <c r="L42" s="3"/>
      <c r="M42" s="11" t="str">
        <f aca="false">IF(OR($K42="EXPIRED",$K42="EXPIRING SOON",$K42="MISSING ITEM"),COUNTIF($K$9:$K42,"EXPIRED")+COUNTIF($K$9:$K42,"EXPIRING SOON")+COUNTIF($K$9:$K42,"MISSING ITEM"),"")</f>
        <v/>
      </c>
    </row>
    <row r="43" customFormat="false" ht="15" hidden="false" customHeight="false" outlineLevel="0" collapsed="false">
      <c r="A43" s="3"/>
      <c r="B43" s="3"/>
      <c r="C43" s="3"/>
      <c r="D43" s="9"/>
      <c r="E43" s="3"/>
      <c r="F43" s="10" t="str">
        <f aca="false">IF(OR($A43="",$D43=""),"",EDATE($D43,12*$B$4))</f>
        <v/>
      </c>
      <c r="G43" s="9"/>
      <c r="H43" s="3"/>
      <c r="I43" s="10" t="str">
        <f aca="false">IF(OR($A43="",$G43=""),"",EDATE($G43,12*$B$5))</f>
        <v/>
      </c>
      <c r="J43" s="11" t="str">
        <f aca="false">IF($A43="","",IF(AND($F43="",$I43=""),"",MIN(IF($F43="",99999,$F43),IF($I43="",99999,$I43))-$B$3))</f>
        <v/>
      </c>
      <c r="K43" s="12" t="str">
        <f aca="false">IF($A43="","",IF(OR($D43="",$G43=""),"MISSING ITEM",IF($J43&lt;0,"EXPIRED",IF($J43&lt;=$B$6,"EXPIRING SOON","CURRENT"))))</f>
        <v/>
      </c>
      <c r="L43" s="3"/>
      <c r="M43" s="11" t="str">
        <f aca="false">IF(OR($K43="EXPIRED",$K43="EXPIRING SOON",$K43="MISSING ITEM"),COUNTIF($K$9:$K43,"EXPIRED")+COUNTIF($K$9:$K43,"EXPIRING SOON")+COUNTIF($K$9:$K43,"MISSING ITEM"),"")</f>
        <v/>
      </c>
    </row>
    <row r="44" customFormat="false" ht="15" hidden="false" customHeight="false" outlineLevel="0" collapsed="false">
      <c r="A44" s="3"/>
      <c r="B44" s="3"/>
      <c r="C44" s="3"/>
      <c r="D44" s="9"/>
      <c r="E44" s="3"/>
      <c r="F44" s="10" t="str">
        <f aca="false">IF(OR($A44="",$D44=""),"",EDATE($D44,12*$B$4))</f>
        <v/>
      </c>
      <c r="G44" s="9"/>
      <c r="H44" s="3"/>
      <c r="I44" s="10" t="str">
        <f aca="false">IF(OR($A44="",$G44=""),"",EDATE($G44,12*$B$5))</f>
        <v/>
      </c>
      <c r="J44" s="11" t="str">
        <f aca="false">IF($A44="","",IF(AND($F44="",$I44=""),"",MIN(IF($F44="",99999,$F44),IF($I44="",99999,$I44))-$B$3))</f>
        <v/>
      </c>
      <c r="K44" s="12" t="str">
        <f aca="false">IF($A44="","",IF(OR($D44="",$G44=""),"MISSING ITEM",IF($J44&lt;0,"EXPIRED",IF($J44&lt;=$B$6,"EXPIRING SOON","CURRENT"))))</f>
        <v/>
      </c>
      <c r="L44" s="3"/>
      <c r="M44" s="11" t="str">
        <f aca="false">IF(OR($K44="EXPIRED",$K44="EXPIRING SOON",$K44="MISSING ITEM"),COUNTIF($K$9:$K44,"EXPIRED")+COUNTIF($K$9:$K44,"EXPIRING SOON")+COUNTIF($K$9:$K44,"MISSING ITEM"),"")</f>
        <v/>
      </c>
    </row>
    <row r="45" customFormat="false" ht="15" hidden="false" customHeight="false" outlineLevel="0" collapsed="false">
      <c r="A45" s="3"/>
      <c r="B45" s="3"/>
      <c r="C45" s="3"/>
      <c r="D45" s="9"/>
      <c r="E45" s="3"/>
      <c r="F45" s="10" t="str">
        <f aca="false">IF(OR($A45="",$D45=""),"",EDATE($D45,12*$B$4))</f>
        <v/>
      </c>
      <c r="G45" s="9"/>
      <c r="H45" s="3"/>
      <c r="I45" s="10" t="str">
        <f aca="false">IF(OR($A45="",$G45=""),"",EDATE($G45,12*$B$5))</f>
        <v/>
      </c>
      <c r="J45" s="11" t="str">
        <f aca="false">IF($A45="","",IF(AND($F45="",$I45=""),"",MIN(IF($F45="",99999,$F45),IF($I45="",99999,$I45))-$B$3))</f>
        <v/>
      </c>
      <c r="K45" s="12" t="str">
        <f aca="false">IF($A45="","",IF(OR($D45="",$G45=""),"MISSING ITEM",IF($J45&lt;0,"EXPIRED",IF($J45&lt;=$B$6,"EXPIRING SOON","CURRENT"))))</f>
        <v/>
      </c>
      <c r="L45" s="3"/>
      <c r="M45" s="11" t="str">
        <f aca="false">IF(OR($K45="EXPIRED",$K45="EXPIRING SOON",$K45="MISSING ITEM"),COUNTIF($K$9:$K45,"EXPIRED")+COUNTIF($K$9:$K45,"EXPIRING SOON")+COUNTIF($K$9:$K45,"MISSING ITEM"),"")</f>
        <v/>
      </c>
    </row>
    <row r="46" customFormat="false" ht="15" hidden="false" customHeight="false" outlineLevel="0" collapsed="false">
      <c r="A46" s="3"/>
      <c r="B46" s="3"/>
      <c r="C46" s="3"/>
      <c r="D46" s="9"/>
      <c r="E46" s="3"/>
      <c r="F46" s="10" t="str">
        <f aca="false">IF(OR($A46="",$D46=""),"",EDATE($D46,12*$B$4))</f>
        <v/>
      </c>
      <c r="G46" s="9"/>
      <c r="H46" s="3"/>
      <c r="I46" s="10" t="str">
        <f aca="false">IF(OR($A46="",$G46=""),"",EDATE($G46,12*$B$5))</f>
        <v/>
      </c>
      <c r="J46" s="11" t="str">
        <f aca="false">IF($A46="","",IF(AND($F46="",$I46=""),"",MIN(IF($F46="",99999,$F46),IF($I46="",99999,$I46))-$B$3))</f>
        <v/>
      </c>
      <c r="K46" s="12" t="str">
        <f aca="false">IF($A46="","",IF(OR($D46="",$G46=""),"MISSING ITEM",IF($J46&lt;0,"EXPIRED",IF($J46&lt;=$B$6,"EXPIRING SOON","CURRENT"))))</f>
        <v/>
      </c>
      <c r="L46" s="3"/>
      <c r="M46" s="11" t="str">
        <f aca="false">IF(OR($K46="EXPIRED",$K46="EXPIRING SOON",$K46="MISSING ITEM"),COUNTIF($K$9:$K46,"EXPIRED")+COUNTIF($K$9:$K46,"EXPIRING SOON")+COUNTIF($K$9:$K46,"MISSING ITEM"),"")</f>
        <v/>
      </c>
    </row>
    <row r="47" customFormat="false" ht="15" hidden="false" customHeight="false" outlineLevel="0" collapsed="false">
      <c r="A47" s="3"/>
      <c r="B47" s="3"/>
      <c r="C47" s="3"/>
      <c r="D47" s="9"/>
      <c r="E47" s="3"/>
      <c r="F47" s="10" t="str">
        <f aca="false">IF(OR($A47="",$D47=""),"",EDATE($D47,12*$B$4))</f>
        <v/>
      </c>
      <c r="G47" s="9"/>
      <c r="H47" s="3"/>
      <c r="I47" s="10" t="str">
        <f aca="false">IF(OR($A47="",$G47=""),"",EDATE($G47,12*$B$5))</f>
        <v/>
      </c>
      <c r="J47" s="11" t="str">
        <f aca="false">IF($A47="","",IF(AND($F47="",$I47=""),"",MIN(IF($F47="",99999,$F47),IF($I47="",99999,$I47))-$B$3))</f>
        <v/>
      </c>
      <c r="K47" s="12" t="str">
        <f aca="false">IF($A47="","",IF(OR($D47="",$G47=""),"MISSING ITEM",IF($J47&lt;0,"EXPIRED",IF($J47&lt;=$B$6,"EXPIRING SOON","CURRENT"))))</f>
        <v/>
      </c>
      <c r="L47" s="3"/>
      <c r="M47" s="11" t="str">
        <f aca="false">IF(OR($K47="EXPIRED",$K47="EXPIRING SOON",$K47="MISSING ITEM"),COUNTIF($K$9:$K47,"EXPIRED")+COUNTIF($K$9:$K47,"EXPIRING SOON")+COUNTIF($K$9:$K47,"MISSING ITEM"),"")</f>
        <v/>
      </c>
    </row>
    <row r="48" customFormat="false" ht="15" hidden="false" customHeight="false" outlineLevel="0" collapsed="false">
      <c r="A48" s="3"/>
      <c r="B48" s="3"/>
      <c r="C48" s="3"/>
      <c r="D48" s="9"/>
      <c r="E48" s="3"/>
      <c r="F48" s="10" t="str">
        <f aca="false">IF(OR($A48="",$D48=""),"",EDATE($D48,12*$B$4))</f>
        <v/>
      </c>
      <c r="G48" s="9"/>
      <c r="H48" s="3"/>
      <c r="I48" s="10" t="str">
        <f aca="false">IF(OR($A48="",$G48=""),"",EDATE($G48,12*$B$5))</f>
        <v/>
      </c>
      <c r="J48" s="11" t="str">
        <f aca="false">IF($A48="","",IF(AND($F48="",$I48=""),"",MIN(IF($F48="",99999,$F48),IF($I48="",99999,$I48))-$B$3))</f>
        <v/>
      </c>
      <c r="K48" s="12" t="str">
        <f aca="false">IF($A48="","",IF(OR($D48="",$G48=""),"MISSING ITEM",IF($J48&lt;0,"EXPIRED",IF($J48&lt;=$B$6,"EXPIRING SOON","CURRENT"))))</f>
        <v/>
      </c>
      <c r="L48" s="3"/>
      <c r="M48" s="11" t="str">
        <f aca="false">IF(OR($K48="EXPIRED",$K48="EXPIRING SOON",$K48="MISSING ITEM"),COUNTIF($K$9:$K48,"EXPIRED")+COUNTIF($K$9:$K48,"EXPIRING SOON")+COUNTIF($K$9:$K48,"MISSING ITEM"),"")</f>
        <v/>
      </c>
    </row>
    <row r="49" customFormat="false" ht="15" hidden="false" customHeight="false" outlineLevel="0" collapsed="false">
      <c r="A49" s="3"/>
      <c r="B49" s="3"/>
      <c r="C49" s="3"/>
      <c r="D49" s="9"/>
      <c r="E49" s="3"/>
      <c r="F49" s="10" t="str">
        <f aca="false">IF(OR($A49="",$D49=""),"",EDATE($D49,12*$B$4))</f>
        <v/>
      </c>
      <c r="G49" s="9"/>
      <c r="H49" s="3"/>
      <c r="I49" s="10" t="str">
        <f aca="false">IF(OR($A49="",$G49=""),"",EDATE($G49,12*$B$5))</f>
        <v/>
      </c>
      <c r="J49" s="11" t="str">
        <f aca="false">IF($A49="","",IF(AND($F49="",$I49=""),"",MIN(IF($F49="",99999,$F49),IF($I49="",99999,$I49))-$B$3))</f>
        <v/>
      </c>
      <c r="K49" s="12" t="str">
        <f aca="false">IF($A49="","",IF(OR($D49="",$G49=""),"MISSING ITEM",IF($J49&lt;0,"EXPIRED",IF($J49&lt;=$B$6,"EXPIRING SOON","CURRENT"))))</f>
        <v/>
      </c>
      <c r="L49" s="3"/>
      <c r="M49" s="11" t="str">
        <f aca="false">IF(OR($K49="EXPIRED",$K49="EXPIRING SOON",$K49="MISSING ITEM"),COUNTIF($K$9:$K49,"EXPIRED")+COUNTIF($K$9:$K49,"EXPIRING SOON")+COUNTIF($K$9:$K49,"MISSING ITEM"),"")</f>
        <v/>
      </c>
    </row>
    <row r="50" customFormat="false" ht="15" hidden="false" customHeight="false" outlineLevel="0" collapsed="false">
      <c r="A50" s="3"/>
      <c r="B50" s="3"/>
      <c r="C50" s="3"/>
      <c r="D50" s="9"/>
      <c r="E50" s="3"/>
      <c r="F50" s="10" t="str">
        <f aca="false">IF(OR($A50="",$D50=""),"",EDATE($D50,12*$B$4))</f>
        <v/>
      </c>
      <c r="G50" s="9"/>
      <c r="H50" s="3"/>
      <c r="I50" s="10" t="str">
        <f aca="false">IF(OR($A50="",$G50=""),"",EDATE($G50,12*$B$5))</f>
        <v/>
      </c>
      <c r="J50" s="11" t="str">
        <f aca="false">IF($A50="","",IF(AND($F50="",$I50=""),"",MIN(IF($F50="",99999,$F50),IF($I50="",99999,$I50))-$B$3))</f>
        <v/>
      </c>
      <c r="K50" s="12" t="str">
        <f aca="false">IF($A50="","",IF(OR($D50="",$G50=""),"MISSING ITEM",IF($J50&lt;0,"EXPIRED",IF($J50&lt;=$B$6,"EXPIRING SOON","CURRENT"))))</f>
        <v/>
      </c>
      <c r="L50" s="3"/>
      <c r="M50" s="11" t="str">
        <f aca="false">IF(OR($K50="EXPIRED",$K50="EXPIRING SOON",$K50="MISSING ITEM"),COUNTIF($K$9:$K50,"EXPIRED")+COUNTIF($K$9:$K50,"EXPIRING SOON")+COUNTIF($K$9:$K50,"MISSING ITEM"),"")</f>
        <v/>
      </c>
    </row>
    <row r="51" customFormat="false" ht="15" hidden="false" customHeight="false" outlineLevel="0" collapsed="false">
      <c r="A51" s="3"/>
      <c r="B51" s="3"/>
      <c r="C51" s="3"/>
      <c r="D51" s="9"/>
      <c r="E51" s="3"/>
      <c r="F51" s="10" t="str">
        <f aca="false">IF(OR($A51="",$D51=""),"",EDATE($D51,12*$B$4))</f>
        <v/>
      </c>
      <c r="G51" s="9"/>
      <c r="H51" s="3"/>
      <c r="I51" s="10" t="str">
        <f aca="false">IF(OR($A51="",$G51=""),"",EDATE($G51,12*$B$5))</f>
        <v/>
      </c>
      <c r="J51" s="11" t="str">
        <f aca="false">IF($A51="","",IF(AND($F51="",$I51=""),"",MIN(IF($F51="",99999,$F51),IF($I51="",99999,$I51))-$B$3))</f>
        <v/>
      </c>
      <c r="K51" s="12" t="str">
        <f aca="false">IF($A51="","",IF(OR($D51="",$G51=""),"MISSING ITEM",IF($J51&lt;0,"EXPIRED",IF($J51&lt;=$B$6,"EXPIRING SOON","CURRENT"))))</f>
        <v/>
      </c>
      <c r="L51" s="3"/>
      <c r="M51" s="11" t="str">
        <f aca="false">IF(OR($K51="EXPIRED",$K51="EXPIRING SOON",$K51="MISSING ITEM"),COUNTIF($K$9:$K51,"EXPIRED")+COUNTIF($K$9:$K51,"EXPIRING SOON")+COUNTIF($K$9:$K51,"MISSING ITEM"),"")</f>
        <v/>
      </c>
    </row>
    <row r="52" customFormat="false" ht="15" hidden="false" customHeight="false" outlineLevel="0" collapsed="false">
      <c r="A52" s="3"/>
      <c r="B52" s="3"/>
      <c r="C52" s="3"/>
      <c r="D52" s="9"/>
      <c r="E52" s="3"/>
      <c r="F52" s="10" t="str">
        <f aca="false">IF(OR($A52="",$D52=""),"",EDATE($D52,12*$B$4))</f>
        <v/>
      </c>
      <c r="G52" s="9"/>
      <c r="H52" s="3"/>
      <c r="I52" s="10" t="str">
        <f aca="false">IF(OR($A52="",$G52=""),"",EDATE($G52,12*$B$5))</f>
        <v/>
      </c>
      <c r="J52" s="11" t="str">
        <f aca="false">IF($A52="","",IF(AND($F52="",$I52=""),"",MIN(IF($F52="",99999,$F52),IF($I52="",99999,$I52))-$B$3))</f>
        <v/>
      </c>
      <c r="K52" s="12" t="str">
        <f aca="false">IF($A52="","",IF(OR($D52="",$G52=""),"MISSING ITEM",IF($J52&lt;0,"EXPIRED",IF($J52&lt;=$B$6,"EXPIRING SOON","CURRENT"))))</f>
        <v/>
      </c>
      <c r="L52" s="3"/>
      <c r="M52" s="11" t="str">
        <f aca="false">IF(OR($K52="EXPIRED",$K52="EXPIRING SOON",$K52="MISSING ITEM"),COUNTIF($K$9:$K52,"EXPIRED")+COUNTIF($K$9:$K52,"EXPIRING SOON")+COUNTIF($K$9:$K52,"MISSING ITEM"),"")</f>
        <v/>
      </c>
    </row>
    <row r="53" customFormat="false" ht="15" hidden="false" customHeight="false" outlineLevel="0" collapsed="false">
      <c r="A53" s="3"/>
      <c r="B53" s="3"/>
      <c r="C53" s="3"/>
      <c r="D53" s="9"/>
      <c r="E53" s="3"/>
      <c r="F53" s="10" t="str">
        <f aca="false">IF(OR($A53="",$D53=""),"",EDATE($D53,12*$B$4))</f>
        <v/>
      </c>
      <c r="G53" s="9"/>
      <c r="H53" s="3"/>
      <c r="I53" s="10" t="str">
        <f aca="false">IF(OR($A53="",$G53=""),"",EDATE($G53,12*$B$5))</f>
        <v/>
      </c>
      <c r="J53" s="11" t="str">
        <f aca="false">IF($A53="","",IF(AND($F53="",$I53=""),"",MIN(IF($F53="",99999,$F53),IF($I53="",99999,$I53))-$B$3))</f>
        <v/>
      </c>
      <c r="K53" s="12" t="str">
        <f aca="false">IF($A53="","",IF(OR($D53="",$G53=""),"MISSING ITEM",IF($J53&lt;0,"EXPIRED",IF($J53&lt;=$B$6,"EXPIRING SOON","CURRENT"))))</f>
        <v/>
      </c>
      <c r="L53" s="3"/>
      <c r="M53" s="11" t="str">
        <f aca="false">IF(OR($K53="EXPIRED",$K53="EXPIRING SOON",$K53="MISSING ITEM"),COUNTIF($K$9:$K53,"EXPIRED")+COUNTIF($K$9:$K53,"EXPIRING SOON")+COUNTIF($K$9:$K53,"MISSING ITEM"),"")</f>
        <v/>
      </c>
    </row>
    <row r="54" customFormat="false" ht="15" hidden="false" customHeight="false" outlineLevel="0" collapsed="false">
      <c r="A54" s="3"/>
      <c r="B54" s="3"/>
      <c r="C54" s="3"/>
      <c r="D54" s="9"/>
      <c r="E54" s="3"/>
      <c r="F54" s="10" t="str">
        <f aca="false">IF(OR($A54="",$D54=""),"",EDATE($D54,12*$B$4))</f>
        <v/>
      </c>
      <c r="G54" s="9"/>
      <c r="H54" s="3"/>
      <c r="I54" s="10" t="str">
        <f aca="false">IF(OR($A54="",$G54=""),"",EDATE($G54,12*$B$5))</f>
        <v/>
      </c>
      <c r="J54" s="11" t="str">
        <f aca="false">IF($A54="","",IF(AND($F54="",$I54=""),"",MIN(IF($F54="",99999,$F54),IF($I54="",99999,$I54))-$B$3))</f>
        <v/>
      </c>
      <c r="K54" s="12" t="str">
        <f aca="false">IF($A54="","",IF(OR($D54="",$G54=""),"MISSING ITEM",IF($J54&lt;0,"EXPIRED",IF($J54&lt;=$B$6,"EXPIRING SOON","CURRENT"))))</f>
        <v/>
      </c>
      <c r="L54" s="3"/>
      <c r="M54" s="11" t="str">
        <f aca="false">IF(OR($K54="EXPIRED",$K54="EXPIRING SOON",$K54="MISSING ITEM"),COUNTIF($K$9:$K54,"EXPIRED")+COUNTIF($K$9:$K54,"EXPIRING SOON")+COUNTIF($K$9:$K54,"MISSING ITEM"),"")</f>
        <v/>
      </c>
    </row>
    <row r="55" customFormat="false" ht="15" hidden="false" customHeight="false" outlineLevel="0" collapsed="false">
      <c r="A55" s="3"/>
      <c r="B55" s="3"/>
      <c r="C55" s="3"/>
      <c r="D55" s="9"/>
      <c r="E55" s="3"/>
      <c r="F55" s="10" t="str">
        <f aca="false">IF(OR($A55="",$D55=""),"",EDATE($D55,12*$B$4))</f>
        <v/>
      </c>
      <c r="G55" s="9"/>
      <c r="H55" s="3"/>
      <c r="I55" s="10" t="str">
        <f aca="false">IF(OR($A55="",$G55=""),"",EDATE($G55,12*$B$5))</f>
        <v/>
      </c>
      <c r="J55" s="11" t="str">
        <f aca="false">IF($A55="","",IF(AND($F55="",$I55=""),"",MIN(IF($F55="",99999,$F55),IF($I55="",99999,$I55))-$B$3))</f>
        <v/>
      </c>
      <c r="K55" s="12" t="str">
        <f aca="false">IF($A55="","",IF(OR($D55="",$G55=""),"MISSING ITEM",IF($J55&lt;0,"EXPIRED",IF($J55&lt;=$B$6,"EXPIRING SOON","CURRENT"))))</f>
        <v/>
      </c>
      <c r="L55" s="3"/>
      <c r="M55" s="11" t="str">
        <f aca="false">IF(OR($K55="EXPIRED",$K55="EXPIRING SOON",$K55="MISSING ITEM"),COUNTIF($K$9:$K55,"EXPIRED")+COUNTIF($K$9:$K55,"EXPIRING SOON")+COUNTIF($K$9:$K55,"MISSING ITEM"),"")</f>
        <v/>
      </c>
    </row>
    <row r="56" customFormat="false" ht="15" hidden="false" customHeight="false" outlineLevel="0" collapsed="false">
      <c r="A56" s="3"/>
      <c r="B56" s="3"/>
      <c r="C56" s="3"/>
      <c r="D56" s="9"/>
      <c r="E56" s="3"/>
      <c r="F56" s="10" t="str">
        <f aca="false">IF(OR($A56="",$D56=""),"",EDATE($D56,12*$B$4))</f>
        <v/>
      </c>
      <c r="G56" s="9"/>
      <c r="H56" s="3"/>
      <c r="I56" s="10" t="str">
        <f aca="false">IF(OR($A56="",$G56=""),"",EDATE($G56,12*$B$5))</f>
        <v/>
      </c>
      <c r="J56" s="11" t="str">
        <f aca="false">IF($A56="","",IF(AND($F56="",$I56=""),"",MIN(IF($F56="",99999,$F56),IF($I56="",99999,$I56))-$B$3))</f>
        <v/>
      </c>
      <c r="K56" s="12" t="str">
        <f aca="false">IF($A56="","",IF(OR($D56="",$G56=""),"MISSING ITEM",IF($J56&lt;0,"EXPIRED",IF($J56&lt;=$B$6,"EXPIRING SOON","CURRENT"))))</f>
        <v/>
      </c>
      <c r="L56" s="3"/>
      <c r="M56" s="11" t="str">
        <f aca="false">IF(OR($K56="EXPIRED",$K56="EXPIRING SOON",$K56="MISSING ITEM"),COUNTIF($K$9:$K56,"EXPIRED")+COUNTIF($K$9:$K56,"EXPIRING SOON")+COUNTIF($K$9:$K56,"MISSING ITEM"),"")</f>
        <v/>
      </c>
    </row>
    <row r="57" customFormat="false" ht="15" hidden="false" customHeight="false" outlineLevel="0" collapsed="false">
      <c r="A57" s="3"/>
      <c r="B57" s="3"/>
      <c r="C57" s="3"/>
      <c r="D57" s="9"/>
      <c r="E57" s="3"/>
      <c r="F57" s="10" t="str">
        <f aca="false">IF(OR($A57="",$D57=""),"",EDATE($D57,12*$B$4))</f>
        <v/>
      </c>
      <c r="G57" s="9"/>
      <c r="H57" s="3"/>
      <c r="I57" s="10" t="str">
        <f aca="false">IF(OR($A57="",$G57=""),"",EDATE($G57,12*$B$5))</f>
        <v/>
      </c>
      <c r="J57" s="11" t="str">
        <f aca="false">IF($A57="","",IF(AND($F57="",$I57=""),"",MIN(IF($F57="",99999,$F57),IF($I57="",99999,$I57))-$B$3))</f>
        <v/>
      </c>
      <c r="K57" s="12" t="str">
        <f aca="false">IF($A57="","",IF(OR($D57="",$G57=""),"MISSING ITEM",IF($J57&lt;0,"EXPIRED",IF($J57&lt;=$B$6,"EXPIRING SOON","CURRENT"))))</f>
        <v/>
      </c>
      <c r="L57" s="3"/>
      <c r="M57" s="11" t="str">
        <f aca="false">IF(OR($K57="EXPIRED",$K57="EXPIRING SOON",$K57="MISSING ITEM"),COUNTIF($K$9:$K57,"EXPIRED")+COUNTIF($K$9:$K57,"EXPIRING SOON")+COUNTIF($K$9:$K57,"MISSING ITEM"),"")</f>
        <v/>
      </c>
    </row>
    <row r="58" customFormat="false" ht="15" hidden="false" customHeight="false" outlineLevel="0" collapsed="false">
      <c r="A58" s="3"/>
      <c r="B58" s="3"/>
      <c r="C58" s="3"/>
      <c r="D58" s="9"/>
      <c r="E58" s="3"/>
      <c r="F58" s="10" t="str">
        <f aca="false">IF(OR($A58="",$D58=""),"",EDATE($D58,12*$B$4))</f>
        <v/>
      </c>
      <c r="G58" s="9"/>
      <c r="H58" s="3"/>
      <c r="I58" s="10" t="str">
        <f aca="false">IF(OR($A58="",$G58=""),"",EDATE($G58,12*$B$5))</f>
        <v/>
      </c>
      <c r="J58" s="11" t="str">
        <f aca="false">IF($A58="","",IF(AND($F58="",$I58=""),"",MIN(IF($F58="",99999,$F58),IF($I58="",99999,$I58))-$B$3))</f>
        <v/>
      </c>
      <c r="K58" s="12" t="str">
        <f aca="false">IF($A58="","",IF(OR($D58="",$G58=""),"MISSING ITEM",IF($J58&lt;0,"EXPIRED",IF($J58&lt;=$B$6,"EXPIRING SOON","CURRENT"))))</f>
        <v/>
      </c>
      <c r="L58" s="3"/>
      <c r="M58" s="11" t="str">
        <f aca="false">IF(OR($K58="EXPIRED",$K58="EXPIRING SOON",$K58="MISSING ITEM"),COUNTIF($K$9:$K58,"EXPIRED")+COUNTIF($K$9:$K58,"EXPIRING SOON")+COUNTIF($K$9:$K58,"MISSING ITEM"),"")</f>
        <v/>
      </c>
    </row>
  </sheetData>
  <conditionalFormatting sqref="K9:K58">
    <cfRule type="cellIs" priority="2" operator="equal" aboveAverage="0" equalAverage="0" bottom="0" percent="0" rank="0" text="" dxfId="0">
      <formula>"EXPIRED"</formula>
    </cfRule>
    <cfRule type="cellIs" priority="3" operator="equal" aboveAverage="0" equalAverage="0" bottom="0" percent="0" rank="0" text="" dxfId="1">
      <formula>"EXPIRING SOON"</formula>
    </cfRule>
    <cfRule type="cellIs" priority="4" operator="equal" aboveAverage="0" equalAverage="0" bottom="0" percent="0" rank="0" text="" dxfId="2">
      <formula>"MISSING ITEM"</formula>
    </cfRule>
    <cfRule type="cellIs" priority="5" operator="equal" aboveAverage="0" equalAverage="0" bottom="0" percent="0" rank="0" text="" dxfId="3">
      <formula>"CURRENT"</formula>
    </cfRule>
  </conditionalFormatting>
  <dataValidations count="1">
    <dataValidation allowBlank="true" error="Enter a date, for example 03/15/2026." errorStyle="stop" errorTitle="Date needed" operator="greaterThan" showDropDown="false" showErrorMessage="true" showInputMessage="false" sqref="D9:D58 G9:G58" type="date">
      <formula1>DATE(2000,1,1)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3" min="2" style="0" width="13"/>
    <col collapsed="false" customWidth="true" hidden="false" outlineLevel="0" max="4" min="4" style="0" width="15"/>
    <col collapsed="false" customWidth="true" hidden="false" outlineLevel="0" max="5" min="5" style="0" width="11"/>
    <col collapsed="false" customWidth="true" hidden="false" outlineLevel="0" max="6" min="6" style="0" width="13"/>
    <col collapsed="false" customWidth="true" hidden="false" outlineLevel="0" max="7" min="7" style="0" width="14"/>
  </cols>
  <sheetData>
    <row r="1" customFormat="false" ht="19.7" hidden="false" customHeight="false" outlineLevel="0" collapsed="false">
      <c r="A1" s="13" t="s">
        <v>76</v>
      </c>
      <c r="B1" s="13"/>
      <c r="C1" s="13"/>
      <c r="D1" s="13"/>
      <c r="E1" s="13"/>
      <c r="F1" s="13"/>
      <c r="G1" s="13"/>
    </row>
    <row r="2" customFormat="false" ht="15" hidden="false" customHeight="false" outlineLevel="0" collapsed="false">
      <c r="A2" s="14" t="str">
        <f aca="false">Volunteers!$B$2</f>
        <v>Grace Community Church (SAMPLE DATA)</v>
      </c>
      <c r="B2" s="14"/>
      <c r="C2" s="14"/>
      <c r="D2" s="14"/>
      <c r="E2" s="15" t="str">
        <f aca="false">"Data as of "&amp;TEXT(Volunteers!$B$3,"mm/dd/yyyy")</f>
        <v>Data as of 10/24/2026</v>
      </c>
      <c r="F2" s="15"/>
      <c r="G2" s="15"/>
    </row>
    <row r="4" customFormat="false" ht="25.5" hidden="false" customHeight="true" outlineLevel="0" collapsed="false">
      <c r="A4" s="16" t="s">
        <v>77</v>
      </c>
      <c r="B4" s="17" t="s">
        <v>78</v>
      </c>
      <c r="C4" s="18" t="str">
        <f aca="false">"Expiring within "&amp;Volunteers!$B$6&amp;" days"</f>
        <v>Expiring within 60 days</v>
      </c>
      <c r="D4" s="19" t="s">
        <v>79</v>
      </c>
      <c r="E4" s="20" t="s">
        <v>80</v>
      </c>
    </row>
    <row r="5" customFormat="false" ht="33.75" hidden="false" customHeight="true" outlineLevel="0" collapsed="false">
      <c r="A5" s="21" t="n">
        <f aca="false">COUNTA(Volunteers!$A$9:$A$58)</f>
        <v>24</v>
      </c>
      <c r="B5" s="22" t="n">
        <f aca="false">COUNTIF(Volunteers!$K$9:$K$58,"CURRENT")</f>
        <v>16</v>
      </c>
      <c r="C5" s="23" t="n">
        <f aca="false">COUNTIF(Volunteers!$K$9:$K$58,"EXPIRING SOON")</f>
        <v>4</v>
      </c>
      <c r="D5" s="24" t="n">
        <f aca="false">COUNTIF(Volunteers!$K$9:$K$58,"EXPIRED")</f>
        <v>3</v>
      </c>
      <c r="E5" s="25" t="n">
        <f aca="false">COUNTIF(Volunteers!$K$9:$K$58,"MISSING ITEM")</f>
        <v>1</v>
      </c>
    </row>
    <row r="7" customFormat="false" ht="15" hidden="false" customHeight="false" outlineLevel="0" collapsed="false">
      <c r="A7" s="15" t="s">
        <v>81</v>
      </c>
      <c r="B7" s="15"/>
      <c r="C7" s="15"/>
      <c r="D7" s="15"/>
      <c r="E7" s="15"/>
      <c r="F7" s="15"/>
      <c r="G7" s="15"/>
    </row>
    <row r="9" customFormat="false" ht="15" hidden="false" customHeight="false" outlineLevel="0" collapsed="false">
      <c r="A9" s="26" t="s">
        <v>82</v>
      </c>
    </row>
    <row r="10" customFormat="false" ht="15" hidden="false" customHeight="false" outlineLevel="0" collapsed="false">
      <c r="A10" s="27" t="s">
        <v>15</v>
      </c>
      <c r="B10" s="27" t="s">
        <v>83</v>
      </c>
      <c r="C10" s="27" t="s">
        <v>78</v>
      </c>
      <c r="D10" s="27" t="s">
        <v>84</v>
      </c>
      <c r="E10" s="27" t="s">
        <v>79</v>
      </c>
      <c r="F10" s="27" t="s">
        <v>85</v>
      </c>
      <c r="G10" s="27" t="s">
        <v>86</v>
      </c>
    </row>
    <row r="11" customFormat="false" ht="15" hidden="false" customHeight="false" outlineLevel="0" collapsed="false">
      <c r="A11" s="3" t="s">
        <v>28</v>
      </c>
      <c r="B11" s="28" t="n">
        <f aca="false">COUNTIF(Volunteers!$C$9:$C$58,$A11)</f>
        <v>5</v>
      </c>
      <c r="C11" s="28" t="n">
        <f aca="false">COUNTIFS(Volunteers!$C$9:$C$58,$A11,Volunteers!$K$9:$K$58,"CURRENT")</f>
        <v>4</v>
      </c>
      <c r="D11" s="28" t="n">
        <f aca="false">COUNTIFS(Volunteers!$C$9:$C$58,$A11,Volunteers!$K$9:$K$58,"EXPIRING SOON")</f>
        <v>0</v>
      </c>
      <c r="E11" s="28" t="n">
        <f aca="false">COUNTIFS(Volunteers!$C$9:$C$58,$A11,Volunteers!$K$9:$K$58,"EXPIRED")</f>
        <v>0</v>
      </c>
      <c r="F11" s="28" t="n">
        <f aca="false">COUNTIFS(Volunteers!$C$9:$C$58,$A11,Volunteers!$K$9:$K$58,"MISSING ITEM")</f>
        <v>1</v>
      </c>
      <c r="G11" s="29" t="n">
        <f aca="false">IF($B11=0,"",$C11/$B11)</f>
        <v>0.8</v>
      </c>
    </row>
    <row r="12" customFormat="false" ht="15" hidden="false" customHeight="false" outlineLevel="0" collapsed="false">
      <c r="A12" s="3" t="s">
        <v>38</v>
      </c>
      <c r="B12" s="28" t="n">
        <f aca="false">COUNTIF(Volunteers!$C$9:$C$58,$A12)</f>
        <v>7</v>
      </c>
      <c r="C12" s="28" t="n">
        <f aca="false">COUNTIFS(Volunteers!$C$9:$C$58,$A12,Volunteers!$K$9:$K$58,"CURRENT")</f>
        <v>5</v>
      </c>
      <c r="D12" s="28" t="n">
        <f aca="false">COUNTIFS(Volunteers!$C$9:$C$58,$A12,Volunteers!$K$9:$K$58,"EXPIRING SOON")</f>
        <v>1</v>
      </c>
      <c r="E12" s="28" t="n">
        <f aca="false">COUNTIFS(Volunteers!$C$9:$C$58,$A12,Volunteers!$K$9:$K$58,"EXPIRED")</f>
        <v>1</v>
      </c>
      <c r="F12" s="28" t="n">
        <f aca="false">COUNTIFS(Volunteers!$C$9:$C$58,$A12,Volunteers!$K$9:$K$58,"MISSING ITEM")</f>
        <v>0</v>
      </c>
      <c r="G12" s="29" t="n">
        <f aca="false">IF($B12=0,"",$C12/$B12)</f>
        <v>0.714285714285714</v>
      </c>
    </row>
    <row r="13" customFormat="false" ht="15" hidden="false" customHeight="false" outlineLevel="0" collapsed="false">
      <c r="A13" s="3" t="s">
        <v>41</v>
      </c>
      <c r="B13" s="28" t="n">
        <f aca="false">COUNTIF(Volunteers!$C$9:$C$58,$A13)</f>
        <v>5</v>
      </c>
      <c r="C13" s="28" t="n">
        <f aca="false">COUNTIFS(Volunteers!$C$9:$C$58,$A13,Volunteers!$K$9:$K$58,"CURRENT")</f>
        <v>3</v>
      </c>
      <c r="D13" s="28" t="n">
        <f aca="false">COUNTIFS(Volunteers!$C$9:$C$58,$A13,Volunteers!$K$9:$K$58,"EXPIRING SOON")</f>
        <v>1</v>
      </c>
      <c r="E13" s="28" t="n">
        <f aca="false">COUNTIFS(Volunteers!$C$9:$C$58,$A13,Volunteers!$K$9:$K$58,"EXPIRED")</f>
        <v>1</v>
      </c>
      <c r="F13" s="28" t="n">
        <f aca="false">COUNTIFS(Volunteers!$C$9:$C$58,$A13,Volunteers!$K$9:$K$58,"MISSING ITEM")</f>
        <v>0</v>
      </c>
      <c r="G13" s="29" t="n">
        <f aca="false">IF($B13=0,"",$C13/$B13)</f>
        <v>0.6</v>
      </c>
    </row>
    <row r="14" customFormat="false" ht="15" hidden="false" customHeight="false" outlineLevel="0" collapsed="false">
      <c r="A14" s="3" t="s">
        <v>33</v>
      </c>
      <c r="B14" s="28" t="n">
        <f aca="false">COUNTIF(Volunteers!$C$9:$C$58,$A14)</f>
        <v>3</v>
      </c>
      <c r="C14" s="28" t="n">
        <f aca="false">COUNTIFS(Volunteers!$C$9:$C$58,$A14,Volunteers!$K$9:$K$58,"CURRENT")</f>
        <v>1</v>
      </c>
      <c r="D14" s="28" t="n">
        <f aca="false">COUNTIFS(Volunteers!$C$9:$C$58,$A14,Volunteers!$K$9:$K$58,"EXPIRING SOON")</f>
        <v>1</v>
      </c>
      <c r="E14" s="28" t="n">
        <f aca="false">COUNTIFS(Volunteers!$C$9:$C$58,$A14,Volunteers!$K$9:$K$58,"EXPIRED")</f>
        <v>1</v>
      </c>
      <c r="F14" s="28" t="n">
        <f aca="false">COUNTIFS(Volunteers!$C$9:$C$58,$A14,Volunteers!$K$9:$K$58,"MISSING ITEM")</f>
        <v>0</v>
      </c>
      <c r="G14" s="29" t="n">
        <f aca="false">IF($B14=0,"",$C14/$B14)</f>
        <v>0.333333333333333</v>
      </c>
    </row>
    <row r="15" customFormat="false" ht="15" hidden="false" customHeight="false" outlineLevel="0" collapsed="false">
      <c r="A15" s="3" t="s">
        <v>46</v>
      </c>
      <c r="B15" s="28" t="n">
        <f aca="false">COUNTIF(Volunteers!$C$9:$C$58,$A15)</f>
        <v>4</v>
      </c>
      <c r="C15" s="28" t="n">
        <f aca="false">COUNTIFS(Volunteers!$C$9:$C$58,$A15,Volunteers!$K$9:$K$58,"CURRENT")</f>
        <v>3</v>
      </c>
      <c r="D15" s="28" t="n">
        <f aca="false">COUNTIFS(Volunteers!$C$9:$C$58,$A15,Volunteers!$K$9:$K$58,"EXPIRING SOON")</f>
        <v>1</v>
      </c>
      <c r="E15" s="28" t="n">
        <f aca="false">COUNTIFS(Volunteers!$C$9:$C$58,$A15,Volunteers!$K$9:$K$58,"EXPIRED")</f>
        <v>0</v>
      </c>
      <c r="F15" s="28" t="n">
        <f aca="false">COUNTIFS(Volunteers!$C$9:$C$58,$A15,Volunteers!$K$9:$K$58,"MISSING ITEM")</f>
        <v>0</v>
      </c>
      <c r="G15" s="29" t="n">
        <f aca="false">IF($B15=0,"",$C15/$B15)</f>
        <v>0.75</v>
      </c>
    </row>
    <row r="16" customFormat="false" ht="15" hidden="false" customHeight="false" outlineLevel="0" collapsed="false">
      <c r="A16" s="30" t="s">
        <v>87</v>
      </c>
      <c r="B16" s="31" t="n">
        <f aca="false">SUM(B11:B15)</f>
        <v>24</v>
      </c>
      <c r="C16" s="31" t="n">
        <f aca="false">SUM(C11:C15)</f>
        <v>16</v>
      </c>
      <c r="D16" s="31" t="n">
        <f aca="false">SUM(D11:D15)</f>
        <v>4</v>
      </c>
      <c r="E16" s="31" t="n">
        <f aca="false">SUM(E11:E15)</f>
        <v>3</v>
      </c>
      <c r="F16" s="31" t="n">
        <f aca="false">SUM(F11:F15)</f>
        <v>1</v>
      </c>
    </row>
    <row r="17" customFormat="false" ht="15" hidden="false" customHeight="false" outlineLevel="0" collapsed="false">
      <c r="A17" s="15" t="s">
        <v>88</v>
      </c>
      <c r="B17" s="15"/>
      <c r="C17" s="15"/>
      <c r="D17" s="15"/>
      <c r="E17" s="15"/>
      <c r="F17" s="15"/>
      <c r="G17" s="15"/>
    </row>
    <row r="18" customFormat="false" ht="15" hidden="false" customHeight="false" outlineLevel="0" collapsed="false">
      <c r="A18" s="15" t="s">
        <v>89</v>
      </c>
      <c r="B18" s="15"/>
      <c r="C18" s="15"/>
      <c r="D18" s="15"/>
      <c r="E18" s="15"/>
      <c r="F18" s="15"/>
      <c r="G18" s="15"/>
    </row>
  </sheetData>
  <mergeCells count="6">
    <mergeCell ref="A1:G1"/>
    <mergeCell ref="A2:D2"/>
    <mergeCell ref="E2:G2"/>
    <mergeCell ref="A7:G7"/>
    <mergeCell ref="A17:G17"/>
    <mergeCell ref="A18:G18"/>
  </mergeCells>
  <conditionalFormatting sqref="E11:E15">
    <cfRule type="cellIs" priority="2" operator="greaterThan" aboveAverage="0" equalAverage="0" bottom="0" percent="0" rank="0" text="" dxfId="0">
      <formula>0</formula>
    </cfRule>
  </conditionalFormatting>
  <conditionalFormatting sqref="F11:F15">
    <cfRule type="cellIs" priority="3" operator="greaterThan" aboveAverage="0" equalAverage="0" bottom="0" percent="0" rank="0" text="" dxfId="0">
      <formula>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3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7"/>
    <col collapsed="false" customWidth="true" hidden="false" outlineLevel="0" max="3" min="3" style="0" width="15"/>
    <col collapsed="false" customWidth="true" hidden="false" outlineLevel="0" max="4" min="4" style="0" width="9"/>
    <col collapsed="false" customWidth="true" hidden="false" outlineLevel="0" max="5" min="5" style="0" width="33"/>
  </cols>
  <sheetData>
    <row r="1" customFormat="false" ht="25.5" hidden="false" customHeight="true" outlineLevel="0" collapsed="false">
      <c r="A1" s="32" t="s">
        <v>90</v>
      </c>
      <c r="B1" s="32"/>
      <c r="C1" s="32"/>
      <c r="D1" s="32"/>
      <c r="E1" s="32"/>
    </row>
    <row r="2" customFormat="false" ht="15" hidden="false" customHeight="false" outlineLevel="0" collapsed="false">
      <c r="A2" s="33" t="str">
        <f aca="false">Volunteers!$B$2&amp;"  |  "&amp;TEXT(Volunteers!$B$3,"mmmm yyyy")</f>
        <v>Grace Community Church (SAMPLE DATA)  |  October 2026</v>
      </c>
      <c r="B2" s="33"/>
      <c r="C2" s="33"/>
      <c r="D2" s="33"/>
      <c r="E2" s="33"/>
    </row>
    <row r="3" customFormat="false" ht="15" hidden="false" customHeight="false" outlineLevel="0" collapsed="false">
      <c r="A3" s="34" t="str">
        <f aca="false">"Data as of "&amp;TEXT(Volunteers!$B$3,"mm/dd/yyyy")&amp;". Sources: status exports and church records forwarded by the church."</f>
        <v>Data as of 10/24/2026. Sources: status exports and church records forwarded by the church.</v>
      </c>
      <c r="B3" s="34"/>
      <c r="C3" s="34"/>
      <c r="D3" s="34"/>
      <c r="E3" s="34"/>
    </row>
    <row r="5" customFormat="false" ht="15" hidden="false" customHeight="false" outlineLevel="0" collapsed="false">
      <c r="A5" s="26" t="s">
        <v>91</v>
      </c>
    </row>
    <row r="6" customFormat="false" ht="15" hidden="false" customHeight="false" outlineLevel="0" collapsed="false">
      <c r="A6" s="35" t="s">
        <v>92</v>
      </c>
      <c r="B6" s="36" t="n">
        <f aca="false">Dashboard!$A$5</f>
        <v>24</v>
      </c>
    </row>
    <row r="7" customFormat="false" ht="15" hidden="false" customHeight="false" outlineLevel="0" collapsed="false">
      <c r="A7" s="37" t="s">
        <v>93</v>
      </c>
      <c r="B7" s="38" t="n">
        <f aca="false">Dashboard!$B$5</f>
        <v>16</v>
      </c>
    </row>
    <row r="8" customFormat="false" ht="15" hidden="false" customHeight="false" outlineLevel="0" collapsed="false">
      <c r="A8" s="39" t="str">
        <f aca="false">"Expiring within "&amp;Volunteers!$B$6&amp;" days"</f>
        <v>Expiring within 60 days</v>
      </c>
      <c r="B8" s="40" t="n">
        <f aca="false">Dashboard!$C$5</f>
        <v>4</v>
      </c>
    </row>
    <row r="9" customFormat="false" ht="15" hidden="false" customHeight="false" outlineLevel="0" collapsed="false">
      <c r="A9" s="41" t="s">
        <v>79</v>
      </c>
      <c r="B9" s="42" t="n">
        <f aca="false">Dashboard!$D$5</f>
        <v>3</v>
      </c>
    </row>
    <row r="10" customFormat="false" ht="15" hidden="false" customHeight="false" outlineLevel="0" collapsed="false">
      <c r="A10" s="43" t="s">
        <v>80</v>
      </c>
      <c r="B10" s="44" t="n">
        <f aca="false">Dashboard!$E$5</f>
        <v>1</v>
      </c>
    </row>
    <row r="12" customFormat="false" ht="15" hidden="false" customHeight="false" outlineLevel="0" collapsed="false">
      <c r="A12" s="26" t="s">
        <v>82</v>
      </c>
    </row>
    <row r="13" customFormat="false" ht="15" hidden="false" customHeight="false" outlineLevel="0" collapsed="false">
      <c r="A13" s="45" t="s">
        <v>15</v>
      </c>
      <c r="B13" s="45" t="s">
        <v>83</v>
      </c>
      <c r="C13" s="45" t="s">
        <v>78</v>
      </c>
      <c r="D13" s="45" t="s">
        <v>79</v>
      </c>
      <c r="E13" s="45" t="s">
        <v>94</v>
      </c>
    </row>
    <row r="14" customFormat="false" ht="15" hidden="false" customHeight="false" outlineLevel="0" collapsed="false">
      <c r="A14" s="46" t="str">
        <f aca="false">Dashboard!$A$11</f>
        <v>Nursery</v>
      </c>
      <c r="B14" s="28" t="n">
        <f aca="false">Dashboard!$B$11</f>
        <v>5</v>
      </c>
      <c r="C14" s="28" t="n">
        <f aca="false">Dashboard!$C$11</f>
        <v>4</v>
      </c>
      <c r="D14" s="28" t="n">
        <f aca="false">Dashboard!$E$11</f>
        <v>0</v>
      </c>
      <c r="E14" s="28" t="n">
        <f aca="false">Dashboard!$D$11+Dashboard!$E$11+Dashboard!$F$11</f>
        <v>1</v>
      </c>
    </row>
    <row r="15" customFormat="false" ht="15" hidden="false" customHeight="false" outlineLevel="0" collapsed="false">
      <c r="A15" s="46" t="str">
        <f aca="false">Dashboard!$A$12</f>
        <v>Children's Church</v>
      </c>
      <c r="B15" s="28" t="n">
        <f aca="false">Dashboard!$B$12</f>
        <v>7</v>
      </c>
      <c r="C15" s="28" t="n">
        <f aca="false">Dashboard!$C$12</f>
        <v>5</v>
      </c>
      <c r="D15" s="28" t="n">
        <f aca="false">Dashboard!$E$12</f>
        <v>1</v>
      </c>
      <c r="E15" s="28" t="n">
        <f aca="false">Dashboard!$D$12+Dashboard!$E$12+Dashboard!$F$12</f>
        <v>2</v>
      </c>
    </row>
    <row r="16" customFormat="false" ht="15" hidden="false" customHeight="false" outlineLevel="0" collapsed="false">
      <c r="A16" s="46" t="str">
        <f aca="false">Dashboard!$A$13</f>
        <v>Youth Group</v>
      </c>
      <c r="B16" s="28" t="n">
        <f aca="false">Dashboard!$B$13</f>
        <v>5</v>
      </c>
      <c r="C16" s="28" t="n">
        <f aca="false">Dashboard!$C$13</f>
        <v>3</v>
      </c>
      <c r="D16" s="28" t="n">
        <f aca="false">Dashboard!$E$13</f>
        <v>1</v>
      </c>
      <c r="E16" s="28" t="n">
        <f aca="false">Dashboard!$D$13+Dashboard!$E$13+Dashboard!$F$13</f>
        <v>2</v>
      </c>
    </row>
    <row r="17" customFormat="false" ht="15" hidden="false" customHeight="false" outlineLevel="0" collapsed="false">
      <c r="A17" s="46" t="str">
        <f aca="false">Dashboard!$A$14</f>
        <v>Vans &amp; Drivers</v>
      </c>
      <c r="B17" s="28" t="n">
        <f aca="false">Dashboard!$B$14</f>
        <v>3</v>
      </c>
      <c r="C17" s="28" t="n">
        <f aca="false">Dashboard!$C$14</f>
        <v>1</v>
      </c>
      <c r="D17" s="28" t="n">
        <f aca="false">Dashboard!$E$14</f>
        <v>1</v>
      </c>
      <c r="E17" s="28" t="n">
        <f aca="false">Dashboard!$D$14+Dashboard!$E$14+Dashboard!$F$14</f>
        <v>2</v>
      </c>
    </row>
    <row r="18" customFormat="false" ht="15" hidden="false" customHeight="false" outlineLevel="0" collapsed="false">
      <c r="A18" s="46" t="str">
        <f aca="false">Dashboard!$A$15</f>
        <v>Check-in Desk</v>
      </c>
      <c r="B18" s="28" t="n">
        <f aca="false">Dashboard!$B$15</f>
        <v>4</v>
      </c>
      <c r="C18" s="28" t="n">
        <f aca="false">Dashboard!$C$15</f>
        <v>3</v>
      </c>
      <c r="D18" s="28" t="n">
        <f aca="false">Dashboard!$E$15</f>
        <v>0</v>
      </c>
      <c r="E18" s="28" t="n">
        <f aca="false">Dashboard!$D$15+Dashboard!$E$15+Dashboard!$F$15</f>
        <v>1</v>
      </c>
    </row>
    <row r="20" customFormat="false" ht="15" hidden="false" customHeight="false" outlineLevel="0" collapsed="false">
      <c r="A20" s="26" t="s">
        <v>95</v>
      </c>
    </row>
    <row r="21" customFormat="false" ht="15" hidden="false" customHeight="false" outlineLevel="0" collapsed="false">
      <c r="A21" s="45" t="s">
        <v>96</v>
      </c>
      <c r="B21" s="45" t="s">
        <v>15</v>
      </c>
      <c r="C21" s="45" t="s">
        <v>23</v>
      </c>
      <c r="D21" s="45" t="s">
        <v>97</v>
      </c>
      <c r="E21" s="45" t="s">
        <v>98</v>
      </c>
    </row>
    <row r="22" customFormat="false" ht="22.35" hidden="false" customHeight="false" outlineLevel="0" collapsed="false">
      <c r="A22" s="47" t="str">
        <f aca="false">IFERROR(INDEX(Volunteers!$A$9:$A$58,MATCH(1,Volunteers!$M$9:$M$58,0)),"")</f>
        <v>Doug Pemberton</v>
      </c>
      <c r="B22" s="47" t="str">
        <f aca="false">IFERROR(INDEX(Volunteers!$C$9:$C$58,MATCH(1,Volunteers!$M$9:$M$58,0)),"")</f>
        <v>Vans &amp; Drivers</v>
      </c>
      <c r="C22" s="48" t="str">
        <f aca="false">IFERROR(INDEX(Volunteers!$K$9:$K$58,MATCH(1,Volunteers!$M$9:$M$58,0)),"")</f>
        <v>EXPIRING SOON</v>
      </c>
      <c r="D22" s="49" t="n">
        <f aca="false">IFERROR(IF(INDEX(Volunteers!$K$9:$K$58,MATCH(1,Volunteers!$M$9:$M$58,0))="MISSING ITEM","n/a",INDEX(Volunteers!$J$9:$J$58,MATCH(1,Volunteers!$M$9:$M$58,0))),"")</f>
        <v>23</v>
      </c>
      <c r="E22" s="50" t="str">
        <f aca="false">IFERROR(T(INDEX(Volunteers!$L$9:$L$58,MATCH(1,Volunteers!$M$9:$M$58,0))),"")</f>
        <v>MVR and driver form on file 09/2023; renew with check</v>
      </c>
    </row>
    <row r="23" customFormat="false" ht="15" hidden="false" customHeight="false" outlineLevel="0" collapsed="false">
      <c r="A23" s="47" t="str">
        <f aca="false">IFERROR(INDEX(Volunteers!$A$9:$A$58,MATCH(2,Volunteers!$M$9:$M$58,0)),"")</f>
        <v>Bill Straub</v>
      </c>
      <c r="B23" s="47" t="str">
        <f aca="false">IFERROR(INDEX(Volunteers!$C$9:$C$58,MATCH(2,Volunteers!$M$9:$M$58,0)),"")</f>
        <v>Youth Group</v>
      </c>
      <c r="C23" s="48" t="str">
        <f aca="false">IFERROR(INDEX(Volunteers!$K$9:$K$58,MATCH(2,Volunteers!$M$9:$M$58,0)),"")</f>
        <v>EXPIRED</v>
      </c>
      <c r="D23" s="49" t="n">
        <f aca="false">IFERROR(IF(INDEX(Volunteers!$K$9:$K$58,MATCH(2,Volunteers!$M$9:$M$58,0))="MISSING ITEM","n/a",INDEX(Volunteers!$J$9:$J$58,MATCH(2,Volunteers!$M$9:$M$58,0))),"")</f>
        <v>-45</v>
      </c>
      <c r="E23" s="50" t="str">
        <f aca="false">IFERROR(T(INDEX(Volunteers!$L$9:$L$58,MATCH(2,Volunteers!$M$9:$M$58,0))),"")</f>
        <v>Overnight-trip approved 2024</v>
      </c>
    </row>
    <row r="24" customFormat="false" ht="15" hidden="false" customHeight="false" outlineLevel="0" collapsed="false">
      <c r="A24" s="47" t="str">
        <f aca="false">IFERROR(INDEX(Volunteers!$A$9:$A$58,MATCH(3,Volunteers!$M$9:$M$58,0)),"")</f>
        <v>Sam Whitfield</v>
      </c>
      <c r="B24" s="47" t="str">
        <f aca="false">IFERROR(INDEX(Volunteers!$C$9:$C$58,MATCH(3,Volunteers!$M$9:$M$58,0)),"")</f>
        <v>Children's Church</v>
      </c>
      <c r="C24" s="48" t="str">
        <f aca="false">IFERROR(INDEX(Volunteers!$K$9:$K$58,MATCH(3,Volunteers!$M$9:$M$58,0)),"")</f>
        <v>EXPIRING SOON</v>
      </c>
      <c r="D24" s="49" t="n">
        <f aca="false">IFERROR(IF(INDEX(Volunteers!$K$9:$K$58,MATCH(3,Volunteers!$M$9:$M$58,0))="MISSING ITEM","n/a",INDEX(Volunteers!$J$9:$J$58,MATCH(3,Volunteers!$M$9:$M$58,0))),"")</f>
        <v>41</v>
      </c>
      <c r="E24" s="50" t="str">
        <f aca="false">IFERROR(T(INDEX(Volunteers!$L$9:$L$58,MATCH(3,Volunteers!$M$9:$M$58,0))),"")</f>
        <v/>
      </c>
    </row>
    <row r="25" customFormat="false" ht="15" hidden="false" customHeight="false" outlineLevel="0" collapsed="false">
      <c r="A25" s="47" t="str">
        <f aca="false">IFERROR(INDEX(Volunteers!$A$9:$A$58,MATCH(4,Volunteers!$M$9:$M$58,0)),"")</f>
        <v>Carol Maybury</v>
      </c>
      <c r="B25" s="47" t="str">
        <f aca="false">IFERROR(INDEX(Volunteers!$C$9:$C$58,MATCH(4,Volunteers!$M$9:$M$58,0)),"")</f>
        <v>Children's Church</v>
      </c>
      <c r="C25" s="48" t="str">
        <f aca="false">IFERROR(INDEX(Volunteers!$K$9:$K$58,MATCH(4,Volunteers!$M$9:$M$58,0)),"")</f>
        <v>EXPIRED</v>
      </c>
      <c r="D25" s="49" t="n">
        <f aca="false">IFERROR(IF(INDEX(Volunteers!$K$9:$K$58,MATCH(4,Volunteers!$M$9:$M$58,0))="MISSING ITEM","n/a",INDEX(Volunteers!$J$9:$J$58,MATCH(4,Volunteers!$M$9:$M$58,0))),"")</f>
        <v>-18</v>
      </c>
      <c r="E25" s="50" t="str">
        <f aca="false">IFERROR(T(INDEX(Volunteers!$L$9:$L$58,MATCH(4,Volunteers!$M$9:$M$58,0))),"")</f>
        <v/>
      </c>
    </row>
    <row r="26" customFormat="false" ht="22.35" hidden="false" customHeight="false" outlineLevel="0" collapsed="false">
      <c r="A26" s="47" t="str">
        <f aca="false">IFERROR(INDEX(Volunteers!$A$9:$A$58,MATCH(5,Volunteers!$M$9:$M$58,0)),"")</f>
        <v>Marcus Reed</v>
      </c>
      <c r="B26" s="47" t="str">
        <f aca="false">IFERROR(INDEX(Volunteers!$C$9:$C$58,MATCH(5,Volunteers!$M$9:$M$58,0)),"")</f>
        <v>Nursery</v>
      </c>
      <c r="C26" s="48" t="str">
        <f aca="false">IFERROR(INDEX(Volunteers!$K$9:$K$58,MATCH(5,Volunteers!$M$9:$M$58,0)),"")</f>
        <v>MISSING ITEM</v>
      </c>
      <c r="D26" s="49" t="str">
        <f aca="false">IFERROR(IF(INDEX(Volunteers!$K$9:$K$58,MATCH(5,Volunteers!$M$9:$M$58,0))="MISSING ITEM","n/a",INDEX(Volunteers!$J$9:$J$58,MATCH(5,Volunteers!$M$9:$M$58,0))),"")</f>
        <v>n/a</v>
      </c>
      <c r="E26" s="50" t="str">
        <f aca="false">IFERROR(T(INDEX(Volunteers!$L$9:$L$58,MATCH(5,Volunteers!$M$9:$M$58,0))),"")</f>
        <v>New volunteer; training scheduled for next month</v>
      </c>
    </row>
    <row r="27" customFormat="false" ht="15" hidden="false" customHeight="false" outlineLevel="0" collapsed="false">
      <c r="A27" s="47" t="str">
        <f aca="false">IFERROR(INDEX(Volunteers!$A$9:$A$58,MATCH(6,Volunteers!$M$9:$M$58,0)),"")</f>
        <v>Pete Lindqvist</v>
      </c>
      <c r="B27" s="47" t="str">
        <f aca="false">IFERROR(INDEX(Volunteers!$C$9:$C$58,MATCH(6,Volunteers!$M$9:$M$58,0)),"")</f>
        <v>Youth Group</v>
      </c>
      <c r="C27" s="48" t="str">
        <f aca="false">IFERROR(INDEX(Volunteers!$K$9:$K$58,MATCH(6,Volunteers!$M$9:$M$58,0)),"")</f>
        <v>EXPIRING SOON</v>
      </c>
      <c r="D27" s="49" t="n">
        <f aca="false">IFERROR(IF(INDEX(Volunteers!$K$9:$K$58,MATCH(6,Volunteers!$M$9:$M$58,0))="MISSING ITEM","n/a",INDEX(Volunteers!$J$9:$J$58,MATCH(6,Volunteers!$M$9:$M$58,0))),"")</f>
        <v>34</v>
      </c>
      <c r="E27" s="50" t="str">
        <f aca="false">IFERROR(T(INDEX(Volunteers!$L$9:$L$58,MATCH(6,Volunteers!$M$9:$M$58,0))),"")</f>
        <v/>
      </c>
    </row>
    <row r="28" customFormat="false" ht="15" hidden="false" customHeight="false" outlineLevel="0" collapsed="false">
      <c r="A28" s="47" t="str">
        <f aca="false">IFERROR(INDEX(Volunteers!$A$9:$A$58,MATCH(7,Volunteers!$M$9:$M$58,0)),"")</f>
        <v>Hank Morrow</v>
      </c>
      <c r="B28" s="47" t="str">
        <f aca="false">IFERROR(INDEX(Volunteers!$C$9:$C$58,MATCH(7,Volunteers!$M$9:$M$58,0)),"")</f>
        <v>Vans &amp; Drivers</v>
      </c>
      <c r="C28" s="48" t="str">
        <f aca="false">IFERROR(INDEX(Volunteers!$K$9:$K$58,MATCH(7,Volunteers!$M$9:$M$58,0)),"")</f>
        <v>EXPIRED</v>
      </c>
      <c r="D28" s="49" t="n">
        <f aca="false">IFERROR(IF(INDEX(Volunteers!$K$9:$K$58,MATCH(7,Volunteers!$M$9:$M$58,0))="MISSING ITEM","n/a",INDEX(Volunteers!$J$9:$J$58,MATCH(7,Volunteers!$M$9:$M$58,0))),"")</f>
        <v>-23</v>
      </c>
      <c r="E28" s="50" t="str">
        <f aca="false">IFERROR(T(INDEX(Volunteers!$L$9:$L$58,MATCH(7,Volunteers!$M$9:$M$58,0))),"")</f>
        <v>Driver form on file</v>
      </c>
    </row>
    <row r="29" customFormat="false" ht="15" hidden="false" customHeight="false" outlineLevel="0" collapsed="false">
      <c r="A29" s="47" t="str">
        <f aca="false">IFERROR(INDEX(Volunteers!$A$9:$A$58,MATCH(8,Volunteers!$M$9:$M$58,0)),"")</f>
        <v>Stan Kubiak</v>
      </c>
      <c r="B29" s="47" t="str">
        <f aca="false">IFERROR(INDEX(Volunteers!$C$9:$C$58,MATCH(8,Volunteers!$M$9:$M$58,0)),"")</f>
        <v>Check-in Desk</v>
      </c>
      <c r="C29" s="48" t="str">
        <f aca="false">IFERROR(INDEX(Volunteers!$K$9:$K$58,MATCH(8,Volunteers!$M$9:$M$58,0)),"")</f>
        <v>EXPIRING SOON</v>
      </c>
      <c r="D29" s="49" t="n">
        <f aca="false">IFERROR(IF(INDEX(Volunteers!$K$9:$K$58,MATCH(8,Volunteers!$M$9:$M$58,0))="MISSING ITEM","n/a",INDEX(Volunteers!$J$9:$J$58,MATCH(8,Volunteers!$M$9:$M$58,0))),"")</f>
        <v>48</v>
      </c>
      <c r="E29" s="50" t="str">
        <f aca="false">IFERROR(T(INDEX(Volunteers!$L$9:$L$58,MATCH(8,Volunteers!$M$9:$M$58,0))),"")</f>
        <v>Prefers text reminders; note for desk</v>
      </c>
    </row>
    <row r="30" customFormat="false" ht="15" hidden="false" customHeight="false" outlineLevel="0" collapsed="false">
      <c r="A30" s="47" t="str">
        <f aca="false">IFERROR(INDEX(Volunteers!$A$9:$A$58,MATCH(9,Volunteers!$M$9:$M$58,0)),"")</f>
        <v/>
      </c>
      <c r="B30" s="47" t="str">
        <f aca="false">IFERROR(INDEX(Volunteers!$C$9:$C$58,MATCH(9,Volunteers!$M$9:$M$58,0)),"")</f>
        <v/>
      </c>
      <c r="C30" s="48" t="str">
        <f aca="false">IFERROR(INDEX(Volunteers!$K$9:$K$58,MATCH(9,Volunteers!$M$9:$M$58,0)),"")</f>
        <v/>
      </c>
      <c r="D30" s="49" t="str">
        <f aca="false">IFERROR(IF(INDEX(Volunteers!$K$9:$K$58,MATCH(9,Volunteers!$M$9:$M$58,0))="MISSING ITEM","n/a",INDEX(Volunteers!$J$9:$J$58,MATCH(9,Volunteers!$M$9:$M$58,0))),"")</f>
        <v/>
      </c>
      <c r="E30" s="50" t="str">
        <f aca="false">IFERROR(T(INDEX(Volunteers!$L$9:$L$58,MATCH(9,Volunteers!$M$9:$M$58,0))),"")</f>
        <v/>
      </c>
    </row>
    <row r="31" customFormat="false" ht="15" hidden="false" customHeight="false" outlineLevel="0" collapsed="false">
      <c r="A31" s="47" t="str">
        <f aca="false">IFERROR(INDEX(Volunteers!$A$9:$A$58,MATCH(10,Volunteers!$M$9:$M$58,0)),"")</f>
        <v/>
      </c>
      <c r="B31" s="47" t="str">
        <f aca="false">IFERROR(INDEX(Volunteers!$C$9:$C$58,MATCH(10,Volunteers!$M$9:$M$58,0)),"")</f>
        <v/>
      </c>
      <c r="C31" s="48" t="str">
        <f aca="false">IFERROR(INDEX(Volunteers!$K$9:$K$58,MATCH(10,Volunteers!$M$9:$M$58,0)),"")</f>
        <v/>
      </c>
      <c r="D31" s="49" t="str">
        <f aca="false">IFERROR(IF(INDEX(Volunteers!$K$9:$K$58,MATCH(10,Volunteers!$M$9:$M$58,0))="MISSING ITEM","n/a",INDEX(Volunteers!$J$9:$J$58,MATCH(10,Volunteers!$M$9:$M$58,0))),"")</f>
        <v/>
      </c>
      <c r="E31" s="50" t="str">
        <f aca="false">IFERROR(T(INDEX(Volunteers!$L$9:$L$58,MATCH(10,Volunteers!$M$9:$M$58,0))),"")</f>
        <v/>
      </c>
    </row>
    <row r="32" customFormat="false" ht="15" hidden="false" customHeight="false" outlineLevel="0" collapsed="false">
      <c r="A32" s="47" t="str">
        <f aca="false">IFERROR(INDEX(Volunteers!$A$9:$A$58,MATCH(11,Volunteers!$M$9:$M$58,0)),"")</f>
        <v/>
      </c>
      <c r="B32" s="47" t="str">
        <f aca="false">IFERROR(INDEX(Volunteers!$C$9:$C$58,MATCH(11,Volunteers!$M$9:$M$58,0)),"")</f>
        <v/>
      </c>
      <c r="C32" s="48" t="str">
        <f aca="false">IFERROR(INDEX(Volunteers!$K$9:$K$58,MATCH(11,Volunteers!$M$9:$M$58,0)),"")</f>
        <v/>
      </c>
      <c r="D32" s="49" t="str">
        <f aca="false">IFERROR(IF(INDEX(Volunteers!$K$9:$K$58,MATCH(11,Volunteers!$M$9:$M$58,0))="MISSING ITEM","n/a",INDEX(Volunteers!$J$9:$J$58,MATCH(11,Volunteers!$M$9:$M$58,0))),"")</f>
        <v/>
      </c>
      <c r="E32" s="50" t="str">
        <f aca="false">IFERROR(T(INDEX(Volunteers!$L$9:$L$58,MATCH(11,Volunteers!$M$9:$M$58,0))),"")</f>
        <v/>
      </c>
    </row>
    <row r="33" customFormat="false" ht="15" hidden="false" customHeight="false" outlineLevel="0" collapsed="false">
      <c r="A33" s="47" t="str">
        <f aca="false">IFERROR(INDEX(Volunteers!$A$9:$A$58,MATCH(12,Volunteers!$M$9:$M$58,0)),"")</f>
        <v/>
      </c>
      <c r="B33" s="47" t="str">
        <f aca="false">IFERROR(INDEX(Volunteers!$C$9:$C$58,MATCH(12,Volunteers!$M$9:$M$58,0)),"")</f>
        <v/>
      </c>
      <c r="C33" s="48" t="str">
        <f aca="false">IFERROR(INDEX(Volunteers!$K$9:$K$58,MATCH(12,Volunteers!$M$9:$M$58,0)),"")</f>
        <v/>
      </c>
      <c r="D33" s="49" t="str">
        <f aca="false">IFERROR(IF(INDEX(Volunteers!$K$9:$K$58,MATCH(12,Volunteers!$M$9:$M$58,0))="MISSING ITEM","n/a",INDEX(Volunteers!$J$9:$J$58,MATCH(12,Volunteers!$M$9:$M$58,0))),"")</f>
        <v/>
      </c>
      <c r="E33" s="50" t="str">
        <f aca="false">IFERROR(T(INDEX(Volunteers!$L$9:$L$58,MATCH(12,Volunteers!$M$9:$M$58,0))),"")</f>
        <v/>
      </c>
    </row>
    <row r="35" customFormat="false" ht="24" hidden="false" customHeight="true" outlineLevel="0" collapsed="false">
      <c r="A35" s="51" t="s">
        <v>99</v>
      </c>
      <c r="B35" s="51"/>
      <c r="C35" s="51"/>
      <c r="D35" s="51"/>
      <c r="E35" s="51"/>
    </row>
    <row r="36" customFormat="false" ht="24" hidden="false" customHeight="true" outlineLevel="0" collapsed="false">
      <c r="A36" s="51" t="s">
        <v>100</v>
      </c>
      <c r="B36" s="51"/>
      <c r="C36" s="51"/>
      <c r="D36" s="51"/>
      <c r="E36" s="51"/>
    </row>
    <row r="37" customFormat="false" ht="15" hidden="false" customHeight="false" outlineLevel="0" collapsed="false">
      <c r="A37" s="52" t="s">
        <v>101</v>
      </c>
      <c r="C37" s="53" t="s">
        <v>102</v>
      </c>
      <c r="D37" s="53"/>
      <c r="E37" s="53"/>
    </row>
  </sheetData>
  <mergeCells count="6">
    <mergeCell ref="A1:E1"/>
    <mergeCell ref="A2:E2"/>
    <mergeCell ref="A3:E3"/>
    <mergeCell ref="A35:E35"/>
    <mergeCell ref="A36:E36"/>
    <mergeCell ref="C37:E37"/>
  </mergeCells>
  <conditionalFormatting sqref="C22:C33">
    <cfRule type="cellIs" priority="2" operator="equal" aboveAverage="0" equalAverage="0" bottom="0" percent="0" rank="0" text="" dxfId="0">
      <formula>"EXPIRED"</formula>
    </cfRule>
    <cfRule type="cellIs" priority="3" operator="equal" aboveAverage="0" equalAverage="0" bottom="0" percent="0" rank="0" text="" dxfId="1">
      <formula>"EXPIRING SOON"</formula>
    </cfRule>
    <cfRule type="cellIs" priority="4" operator="equal" aboveAverage="0" equalAverage="0" bottom="0" percent="0" rank="0" text="" dxfId="2">
      <formula>"MISSING ITEM"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2026-10-24T22:55:52Z</dcterms:created>
  <dc:creator>SMB AI Transformation LLC</dc:creator>
  <dc:description/>
  <dc:language>en-US</dc:language>
  <cp:lastModifiedBy/>
  <dcterms:modified xsi:type="dcterms:W3CDTF">2026-10-24T22:55:52Z</dcterms:modified>
  <cp:revision>0</cp:revision>
  <dc:subject/>
  <dc:title>Shepherd's Roster volunteer screening roster template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